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50" windowWidth="28740" windowHeight="12525" activeTab="1"/>
  </bookViews>
  <sheets>
    <sheet name="Intro" sheetId="5" r:id="rId1"/>
    <sheet name="All excl. PWS" sheetId="1" r:id="rId2"/>
    <sheet name="PWS non-mature skeleton only" sheetId="3" r:id="rId3"/>
    <sheet name="PWS mature skeleton only" sheetId="2" r:id="rId4"/>
    <sheet name="BMI and ideal body weight - PWS" sheetId="4" r:id="rId5"/>
  </sheets>
  <definedNames>
    <definedName name="_GoBack" localSheetId="2">'PWS non-mature skeleton only'!$A$19</definedName>
  </definedNames>
  <calcPr calcId="162913"/>
</workbook>
</file>

<file path=xl/calcChain.xml><?xml version="1.0" encoding="utf-8"?>
<calcChain xmlns="http://schemas.openxmlformats.org/spreadsheetml/2006/main">
  <c r="D83" i="1" l="1"/>
  <c r="C83" i="1"/>
  <c r="B83" i="1"/>
  <c r="C54" i="4" l="1"/>
  <c r="D48" i="2"/>
  <c r="D49" i="2"/>
  <c r="C77" i="2"/>
  <c r="C48" i="2" s="1"/>
  <c r="B77" i="2"/>
  <c r="B48" i="2" s="1"/>
  <c r="B78" i="2"/>
  <c r="B49" i="2" s="1"/>
  <c r="D56" i="3"/>
  <c r="D57" i="3"/>
  <c r="C85" i="3"/>
  <c r="C56" i="3" s="1"/>
  <c r="B85" i="3"/>
  <c r="B56" i="3" s="1"/>
  <c r="B86" i="3"/>
  <c r="B57" i="3" s="1"/>
  <c r="D58" i="1"/>
  <c r="C127" i="1"/>
  <c r="C58" i="1" s="1"/>
  <c r="B127" i="1"/>
  <c r="B58" i="1" s="1"/>
  <c r="B128" i="1"/>
  <c r="B59" i="1" s="1"/>
  <c r="C79" i="2"/>
  <c r="C50" i="2" s="1"/>
  <c r="C80" i="2"/>
  <c r="C51" i="2" s="1"/>
  <c r="C81" i="2"/>
  <c r="C52" i="2" s="1"/>
  <c r="C82" i="2"/>
  <c r="C53" i="2" s="1"/>
  <c r="C83" i="2"/>
  <c r="C54" i="2" s="1"/>
  <c r="C84" i="2"/>
  <c r="C55" i="2" s="1"/>
  <c r="C85" i="2"/>
  <c r="C56" i="2" s="1"/>
  <c r="B79" i="2"/>
  <c r="B50" i="2" s="1"/>
  <c r="B80" i="2"/>
  <c r="B51" i="2" s="1"/>
  <c r="B81" i="2"/>
  <c r="B52" i="2" s="1"/>
  <c r="B82" i="2"/>
  <c r="B53" i="2" s="1"/>
  <c r="B83" i="2"/>
  <c r="B54" i="2" s="1"/>
  <c r="B84" i="2"/>
  <c r="B55" i="2" s="1"/>
  <c r="B85" i="2"/>
  <c r="B56" i="2" s="1"/>
  <c r="C78" i="2"/>
  <c r="C49" i="2" s="1"/>
  <c r="C87" i="3"/>
  <c r="C58" i="3" s="1"/>
  <c r="C88" i="3"/>
  <c r="C59" i="3" s="1"/>
  <c r="C89" i="3"/>
  <c r="C60" i="3" s="1"/>
  <c r="C90" i="3"/>
  <c r="C61" i="3" s="1"/>
  <c r="C91" i="3"/>
  <c r="C62" i="3" s="1"/>
  <c r="C92" i="3"/>
  <c r="C63" i="3" s="1"/>
  <c r="C93" i="3"/>
  <c r="C64" i="3" s="1"/>
  <c r="C86" i="3"/>
  <c r="C57" i="3" s="1"/>
  <c r="B87" i="3"/>
  <c r="B58" i="3" s="1"/>
  <c r="B88" i="3"/>
  <c r="B59" i="3" s="1"/>
  <c r="B89" i="3"/>
  <c r="B60" i="3" s="1"/>
  <c r="B90" i="3"/>
  <c r="B61" i="3" s="1"/>
  <c r="B91" i="3"/>
  <c r="B62" i="3" s="1"/>
  <c r="B92" i="3"/>
  <c r="B63" i="3" s="1"/>
  <c r="B93" i="3"/>
  <c r="B64" i="3" s="1"/>
  <c r="C129" i="1"/>
  <c r="C60" i="1" s="1"/>
  <c r="C130" i="1"/>
  <c r="C61" i="1" s="1"/>
  <c r="C131" i="1"/>
  <c r="C62" i="1" s="1"/>
  <c r="C132" i="1"/>
  <c r="C63" i="1" s="1"/>
  <c r="C133" i="1"/>
  <c r="C64" i="1" s="1"/>
  <c r="C134" i="1"/>
  <c r="C65" i="1" s="1"/>
  <c r="C135" i="1"/>
  <c r="C66" i="1" s="1"/>
  <c r="B129" i="1"/>
  <c r="B60" i="1" s="1"/>
  <c r="B130" i="1"/>
  <c r="B61" i="1" s="1"/>
  <c r="B131" i="1"/>
  <c r="B62" i="1" s="1"/>
  <c r="B132" i="1"/>
  <c r="B63" i="1" s="1"/>
  <c r="B133" i="1"/>
  <c r="B64" i="1" s="1"/>
  <c r="B134" i="1"/>
  <c r="B65" i="1" s="1"/>
  <c r="B135" i="1"/>
  <c r="B66" i="1" s="1"/>
  <c r="C128" i="1"/>
  <c r="C59" i="1" s="1"/>
  <c r="D63" i="1"/>
  <c r="B57" i="1"/>
  <c r="B46" i="4"/>
  <c r="D49" i="4"/>
  <c r="D56" i="2"/>
  <c r="D55" i="2"/>
  <c r="D54" i="2"/>
  <c r="D53" i="2"/>
  <c r="D52" i="2"/>
  <c r="D51" i="2"/>
  <c r="D50" i="2"/>
  <c r="D64" i="3"/>
  <c r="D63" i="3"/>
  <c r="D62" i="3"/>
  <c r="D61" i="3"/>
  <c r="D60" i="3"/>
  <c r="D59" i="3"/>
  <c r="D58" i="3"/>
  <c r="D59" i="1"/>
  <c r="D66" i="1"/>
  <c r="D65" i="1"/>
  <c r="D64" i="1"/>
  <c r="D62" i="1"/>
  <c r="D61" i="1"/>
  <c r="D60" i="1"/>
  <c r="D47" i="2"/>
  <c r="D46" i="2"/>
  <c r="D55" i="3"/>
  <c r="D54" i="3"/>
  <c r="D56" i="1"/>
  <c r="D86" i="1"/>
  <c r="D85" i="1"/>
  <c r="D82" i="1"/>
  <c r="D81" i="1"/>
  <c r="D80" i="1"/>
  <c r="D79" i="1"/>
  <c r="D78" i="1"/>
  <c r="D77" i="1"/>
  <c r="D84" i="1"/>
  <c r="D76" i="1"/>
  <c r="D75" i="1"/>
  <c r="D74" i="1"/>
  <c r="D73" i="1"/>
  <c r="D72" i="1"/>
  <c r="D71" i="1"/>
  <c r="D70" i="1"/>
  <c r="D69" i="1"/>
  <c r="D68" i="1"/>
  <c r="D67" i="1"/>
  <c r="D57" i="1"/>
  <c r="B38" i="1"/>
  <c r="B49" i="1" s="1"/>
  <c r="B320" i="4"/>
  <c r="B321" i="4"/>
  <c r="B322" i="4"/>
  <c r="C40" i="4"/>
  <c r="C86" i="1"/>
  <c r="C85" i="1"/>
  <c r="C82" i="1"/>
  <c r="C81" i="1"/>
  <c r="C80" i="1"/>
  <c r="C79" i="1"/>
  <c r="C78" i="1"/>
  <c r="C77" i="1"/>
  <c r="C84" i="1"/>
  <c r="C76" i="1"/>
  <c r="C75" i="1"/>
  <c r="C74" i="1"/>
  <c r="C73" i="1"/>
  <c r="C72" i="1"/>
  <c r="C71" i="1"/>
  <c r="C70" i="1"/>
  <c r="C69" i="1"/>
  <c r="C68" i="1"/>
  <c r="C67" i="1"/>
  <c r="C57" i="1"/>
  <c r="C56" i="1"/>
  <c r="B86" i="1"/>
  <c r="B85" i="1"/>
  <c r="B82" i="1"/>
  <c r="B81" i="1"/>
  <c r="B80" i="1"/>
  <c r="B79" i="1"/>
  <c r="B78" i="1"/>
  <c r="B77" i="1"/>
  <c r="B84" i="1"/>
  <c r="B76" i="1"/>
  <c r="B75" i="1"/>
  <c r="B74" i="1"/>
  <c r="B73" i="1"/>
  <c r="B72" i="1"/>
  <c r="B71" i="1"/>
  <c r="B70" i="1"/>
  <c r="B69" i="1"/>
  <c r="B68" i="1"/>
  <c r="B67" i="1"/>
  <c r="B56" i="1"/>
  <c r="C55" i="3"/>
  <c r="C54" i="3"/>
  <c r="B55" i="3"/>
  <c r="B54" i="3"/>
  <c r="C47" i="2"/>
  <c r="C46" i="2"/>
  <c r="B47" i="2"/>
  <c r="B46" i="2"/>
  <c r="B39" i="2"/>
  <c r="B32" i="2"/>
  <c r="B34" i="3"/>
  <c r="B47" i="3" s="1"/>
  <c r="B43" i="1"/>
  <c r="B41" i="3" l="1"/>
</calcChain>
</file>

<file path=xl/sharedStrings.xml><?xml version="1.0" encoding="utf-8"?>
<sst xmlns="http://schemas.openxmlformats.org/spreadsheetml/2006/main" count="1084" uniqueCount="581">
  <si>
    <t>Maximum dose per category</t>
  </si>
  <si>
    <t>Short stature and slow growth</t>
  </si>
  <si>
    <t>Short stature associated with biochemical growth hormone deficiency</t>
  </si>
  <si>
    <t>Growth retardation secondary to an intracranial lesion, or cranial irradiation</t>
  </si>
  <si>
    <t>Hypothalamic-pituitary disease secondary to a structural lesion, with hypothalamic obesity driven growth</t>
  </si>
  <si>
    <t>Risk of hypoglycaemia secondary to growth hormone deficiency in neonates/infants</t>
  </si>
  <si>
    <t>Biochemical growth hormone deficiency and precocious puberty</t>
  </si>
  <si>
    <t>Short stature associated with Turner syndrome</t>
  </si>
  <si>
    <t>Short stature due to short stature homeobox (SHOX) gene disorders</t>
  </si>
  <si>
    <t>Short stature associated with chronic renal insufficiency</t>
  </si>
  <si>
    <t>BSA</t>
  </si>
  <si>
    <t>Body surface area (BSA) calculation</t>
  </si>
  <si>
    <t>Weekly (absolute) dose calculation</t>
  </si>
  <si>
    <t>Equivalent weekly dose in mg</t>
  </si>
  <si>
    <t>Genotropin GoQuick 5mg</t>
  </si>
  <si>
    <t>Genotropin GoQuick 12mg</t>
  </si>
  <si>
    <t>Genotropin MiniQuick 0.6mgx7</t>
  </si>
  <si>
    <t>Genotropin MiniQuick 0.8mgx7</t>
  </si>
  <si>
    <t>Genotropin MiniQuick 1.0mgx7</t>
  </si>
  <si>
    <t>Genotropin MiniQuick 1.2mgx7</t>
  </si>
  <si>
    <t>Genotropin MiniQuick 1.4mgx7</t>
  </si>
  <si>
    <t>Genotropin MiniQuick 1.6mgx7</t>
  </si>
  <si>
    <t>Genotropin MiniQuick 1.8mgx7</t>
  </si>
  <si>
    <t>Genotropin MiniQuick 2.0mgx7</t>
  </si>
  <si>
    <t>Humatrope 6mg</t>
  </si>
  <si>
    <t>Humatrope 12mg</t>
  </si>
  <si>
    <t>Humatrope 24mg</t>
  </si>
  <si>
    <t>Norditropin SimpleXx 5mg</t>
  </si>
  <si>
    <t>Norditropin SimpleXx 10mg</t>
  </si>
  <si>
    <t>Norditropin SimpleXx 15mg</t>
  </si>
  <si>
    <t>Norditropin FlexPro 5mg</t>
  </si>
  <si>
    <t>Norditropin FlexPro 10mg</t>
  </si>
  <si>
    <t>Norditropin FlexPro 15mg</t>
  </si>
  <si>
    <t>Nutropin Aq 10mg</t>
  </si>
  <si>
    <t>Product</t>
  </si>
  <si>
    <t>Saizen Solution 6mg</t>
  </si>
  <si>
    <t>Saizen Solution 12mg</t>
  </si>
  <si>
    <t>Saizen Solution 20mg</t>
  </si>
  <si>
    <t>Zomacton 4mg</t>
  </si>
  <si>
    <t>Zomacton 10mg</t>
  </si>
  <si>
    <r>
      <t>7.5mg/m</t>
    </r>
    <r>
      <rPr>
        <vertAlign val="superscript"/>
        <sz val="12"/>
        <color theme="1"/>
        <rFont val="Calibri"/>
        <family val="2"/>
        <scheme val="minor"/>
      </rPr>
      <t>2</t>
    </r>
    <r>
      <rPr>
        <sz val="12"/>
        <color theme="1"/>
        <rFont val="Calibri"/>
        <family val="2"/>
        <scheme val="minor"/>
      </rPr>
      <t>/wk</t>
    </r>
  </si>
  <si>
    <r>
      <t>9.5mg/m</t>
    </r>
    <r>
      <rPr>
        <vertAlign val="superscript"/>
        <sz val="12"/>
        <color theme="1"/>
        <rFont val="Calibri"/>
        <family val="2"/>
        <scheme val="minor"/>
      </rPr>
      <t>2</t>
    </r>
    <r>
      <rPr>
        <sz val="12"/>
        <color theme="1"/>
        <rFont val="Calibri"/>
        <family val="2"/>
        <scheme val="minor"/>
      </rPr>
      <t>/wk</t>
    </r>
  </si>
  <si>
    <t>Instructions:</t>
  </si>
  <si>
    <t>Omnitrope SurePal 5mg</t>
  </si>
  <si>
    <t>Omnitrope SurePal 10mg</t>
  </si>
  <si>
    <t>Omnitrope SurePal 15mg</t>
  </si>
  <si>
    <t>Current height (cm)</t>
  </si>
  <si>
    <t>Current weight (kg)</t>
  </si>
  <si>
    <t>Eligible dose (mg/kg/wk)</t>
  </si>
  <si>
    <r>
      <t>Short stature and poor body composition due to Prader-Willi syndrome - non-mature skeleton</t>
    </r>
    <r>
      <rPr>
        <b/>
        <vertAlign val="superscript"/>
        <sz val="12"/>
        <color theme="1"/>
        <rFont val="Times New Roman"/>
        <family val="1"/>
      </rPr>
      <t>˅</t>
    </r>
  </si>
  <si>
    <r>
      <t>Closest available dose on dose chart (to equivalent weekly dose in mg above)</t>
    </r>
    <r>
      <rPr>
        <b/>
        <i/>
        <vertAlign val="superscript"/>
        <sz val="14"/>
        <color theme="1"/>
        <rFont val="Calibri"/>
        <family val="2"/>
        <scheme val="minor"/>
      </rPr>
      <t>#</t>
    </r>
  </si>
  <si>
    <t>BMI calculation</t>
  </si>
  <si>
    <t>Age calculation</t>
  </si>
  <si>
    <t>Date of birth (dd/mm/yyyy)</t>
  </si>
  <si>
    <t>25.00-25.99</t>
  </si>
  <si>
    <t>24.00-24.99</t>
  </si>
  <si>
    <t>26.00-26.99</t>
  </si>
  <si>
    <t>27.00-27.99</t>
  </si>
  <si>
    <t>28.00-28.99</t>
  </si>
  <si>
    <t>29.00-29.99</t>
  </si>
  <si>
    <t>30.00-30.99</t>
  </si>
  <si>
    <t>31.00-31.99</t>
  </si>
  <si>
    <t>32.00-32.99</t>
  </si>
  <si>
    <t>33.00-33.99</t>
  </si>
  <si>
    <t>34.00-34.99</t>
  </si>
  <si>
    <t>35.00-35.99</t>
  </si>
  <si>
    <t>36.00-36.99</t>
  </si>
  <si>
    <t>37.00-37.99</t>
  </si>
  <si>
    <t>38.00-38.99</t>
  </si>
  <si>
    <t>39.00-39.99</t>
  </si>
  <si>
    <t>40.00-40.99</t>
  </si>
  <si>
    <t>Age in months</t>
  </si>
  <si>
    <t>Year 1</t>
  </si>
  <si>
    <t>Year 2</t>
  </si>
  <si>
    <t>Year 3</t>
  </si>
  <si>
    <t>Year 4</t>
  </si>
  <si>
    <t>41.00-41.99</t>
  </si>
  <si>
    <t>42.00-42.99</t>
  </si>
  <si>
    <t>43.00-43.99</t>
  </si>
  <si>
    <t>44.00-44.99</t>
  </si>
  <si>
    <t>45.00-45.99</t>
  </si>
  <si>
    <t>46.00-46.99</t>
  </si>
  <si>
    <t>47.00-47.99</t>
  </si>
  <si>
    <t>48.00-48.99</t>
  </si>
  <si>
    <t>49.00-49.99</t>
  </si>
  <si>
    <t>50.00-50.99</t>
  </si>
  <si>
    <t>51.00-51.99</t>
  </si>
  <si>
    <t>52.00-52.99</t>
  </si>
  <si>
    <t>53.00-53.99</t>
  </si>
  <si>
    <t>54.00-54.99</t>
  </si>
  <si>
    <t>55.00-55.99</t>
  </si>
  <si>
    <t>56.00-56.99</t>
  </si>
  <si>
    <t>57.00-57.99</t>
  </si>
  <si>
    <t>58.00-58.99</t>
  </si>
  <si>
    <t>59.00-59.99</t>
  </si>
  <si>
    <t>60.00-60.99</t>
  </si>
  <si>
    <t>61.00-61.99</t>
  </si>
  <si>
    <t>62.00-62.99</t>
  </si>
  <si>
    <t>63.00-63.99</t>
  </si>
  <si>
    <t>64.00-64.99</t>
  </si>
  <si>
    <t>65.00-65.99</t>
  </si>
  <si>
    <t>66.00-66.99</t>
  </si>
  <si>
    <t>67.00-67.99</t>
  </si>
  <si>
    <t>68.00-68.99</t>
  </si>
  <si>
    <t>69.00-69.99</t>
  </si>
  <si>
    <t>70.00-70.99</t>
  </si>
  <si>
    <t>71.00-71.99</t>
  </si>
  <si>
    <t>72.00-72.99</t>
  </si>
  <si>
    <t>73.00-73.99</t>
  </si>
  <si>
    <t>74.00-74.99</t>
  </si>
  <si>
    <t>75.00-75.99</t>
  </si>
  <si>
    <t>76.00-76.99</t>
  </si>
  <si>
    <t>77.00-77.99</t>
  </si>
  <si>
    <t>78.00-78.99</t>
  </si>
  <si>
    <t>79.00-79.99</t>
  </si>
  <si>
    <t>80.00-80.99</t>
  </si>
  <si>
    <t>81.00-81.99</t>
  </si>
  <si>
    <t>82.00-82.99</t>
  </si>
  <si>
    <t>83.00-83.99</t>
  </si>
  <si>
    <t>84.00-84.99</t>
  </si>
  <si>
    <t>85.00-85.99</t>
  </si>
  <si>
    <t>86.00-86.99</t>
  </si>
  <si>
    <t>87.00-87.99</t>
  </si>
  <si>
    <t>88.00-88.99</t>
  </si>
  <si>
    <t>89.00-89.99</t>
  </si>
  <si>
    <t>90.00-90.99</t>
  </si>
  <si>
    <t>91.00-91.99</t>
  </si>
  <si>
    <t>92.00-92.99</t>
  </si>
  <si>
    <t>93.00-93.99</t>
  </si>
  <si>
    <t>94.00-94.99</t>
  </si>
  <si>
    <t>95.00-95.99</t>
  </si>
  <si>
    <t>96.00-96.99</t>
  </si>
  <si>
    <t>97.00-97.99</t>
  </si>
  <si>
    <t>98.00-98.99</t>
  </si>
  <si>
    <t>99.00-99.99</t>
  </si>
  <si>
    <t>100.00-100.99</t>
  </si>
  <si>
    <t>101.00-101.99</t>
  </si>
  <si>
    <t>102.00-102.99</t>
  </si>
  <si>
    <t>103.00-103.99</t>
  </si>
  <si>
    <t>104.00-104.99</t>
  </si>
  <si>
    <t>105.00-105.99</t>
  </si>
  <si>
    <t>106.00-106.99</t>
  </si>
  <si>
    <t>107.00-107.99</t>
  </si>
  <si>
    <t>108.00-108.99</t>
  </si>
  <si>
    <t>109.00-109.99</t>
  </si>
  <si>
    <t>110.00-110.99</t>
  </si>
  <si>
    <t>111.00-111.99</t>
  </si>
  <si>
    <t>112.00-112.99</t>
  </si>
  <si>
    <t>113.00-113.99</t>
  </si>
  <si>
    <t>114.00-114.99</t>
  </si>
  <si>
    <t>115.00-115.99</t>
  </si>
  <si>
    <t>116.00-116.99</t>
  </si>
  <si>
    <t>117.00-117.99</t>
  </si>
  <si>
    <t>118.00-118.99</t>
  </si>
  <si>
    <t>119.00-119.99</t>
  </si>
  <si>
    <t>120.00-120.99</t>
  </si>
  <si>
    <t>121.00-121.99</t>
  </si>
  <si>
    <t>122.00-122.99</t>
  </si>
  <si>
    <t>123.00-123.99</t>
  </si>
  <si>
    <t>124.00-124.99</t>
  </si>
  <si>
    <t>125.00-125.99</t>
  </si>
  <si>
    <t>126.00-126.99</t>
  </si>
  <si>
    <t>127.00-127.99</t>
  </si>
  <si>
    <t>128.00-128.99</t>
  </si>
  <si>
    <t>129.00-129.99</t>
  </si>
  <si>
    <t>130.00-130.99</t>
  </si>
  <si>
    <t>131.00-131.99</t>
  </si>
  <si>
    <t>132.00-132.99</t>
  </si>
  <si>
    <t>133.00-133.99</t>
  </si>
  <si>
    <t>134.00-134.99</t>
  </si>
  <si>
    <t>135.00-135.99</t>
  </si>
  <si>
    <t>136.00-136.99</t>
  </si>
  <si>
    <t>137.00-137.99</t>
  </si>
  <si>
    <t>138.00-138.99</t>
  </si>
  <si>
    <t>139.00-139.99</t>
  </si>
  <si>
    <t>140.00-140.99</t>
  </si>
  <si>
    <t>141.00-141.99</t>
  </si>
  <si>
    <t>142.00-142.99</t>
  </si>
  <si>
    <t>143.00-143.99</t>
  </si>
  <si>
    <t>144.00-144.99</t>
  </si>
  <si>
    <t>145.00-145.99</t>
  </si>
  <si>
    <t>146.00-146.99</t>
  </si>
  <si>
    <t>147.00-147.99</t>
  </si>
  <si>
    <t>148.00-148.99</t>
  </si>
  <si>
    <t>149.00-149.99</t>
  </si>
  <si>
    <t>150.00-150.99</t>
  </si>
  <si>
    <t>151.00-151.99</t>
  </si>
  <si>
    <t>152.00-152.99</t>
  </si>
  <si>
    <t>153.00-153.99</t>
  </si>
  <si>
    <t>154.00-154.99</t>
  </si>
  <si>
    <t>155.00-155.99</t>
  </si>
  <si>
    <t>156.00-156.99</t>
  </si>
  <si>
    <t>157.00-157.99</t>
  </si>
  <si>
    <t>158.00-158.99</t>
  </si>
  <si>
    <t>159.00-159.99</t>
  </si>
  <si>
    <t>160.00-160.99</t>
  </si>
  <si>
    <t>161.00-161.99</t>
  </si>
  <si>
    <t>162.00-162.99</t>
  </si>
  <si>
    <t>163.00-163.99</t>
  </si>
  <si>
    <t>164.00-164.99</t>
  </si>
  <si>
    <t>165.00-165.99</t>
  </si>
  <si>
    <t>166.00-166.99</t>
  </si>
  <si>
    <t>167.00-167.99</t>
  </si>
  <si>
    <t>168.00-168.99</t>
  </si>
  <si>
    <t>169.00-169.99</t>
  </si>
  <si>
    <t>170.00-170.99</t>
  </si>
  <si>
    <t>171.00-171.99</t>
  </si>
  <si>
    <t>172.00-172.99</t>
  </si>
  <si>
    <t>173.00-173.99</t>
  </si>
  <si>
    <t>174.00-174.99</t>
  </si>
  <si>
    <t>175.00-175.99</t>
  </si>
  <si>
    <t>176.00-176.99</t>
  </si>
  <si>
    <t>177.00-177.99</t>
  </si>
  <si>
    <t>178.00-178.99</t>
  </si>
  <si>
    <t>179.00-179.99</t>
  </si>
  <si>
    <t>180.00-180.99</t>
  </si>
  <si>
    <t>181.00-181.99</t>
  </si>
  <si>
    <t>182.00-182.99</t>
  </si>
  <si>
    <t>183.00-183.99</t>
  </si>
  <si>
    <t>184.00-184.99</t>
  </si>
  <si>
    <t>185.00-185.99</t>
  </si>
  <si>
    <t>186.00-186.99</t>
  </si>
  <si>
    <t>187.00-187.99</t>
  </si>
  <si>
    <t>188.00-188.99</t>
  </si>
  <si>
    <t>189.00-189.99</t>
  </si>
  <si>
    <t>190.00-190.99</t>
  </si>
  <si>
    <t>191.00-191.99</t>
  </si>
  <si>
    <t>192.00-192.99</t>
  </si>
  <si>
    <t>193.00-193.99</t>
  </si>
  <si>
    <t>194.00-194.99</t>
  </si>
  <si>
    <t>195.00-195.99</t>
  </si>
  <si>
    <t>196.00-196.99</t>
  </si>
  <si>
    <t>197.00-197.99</t>
  </si>
  <si>
    <t>198.00-198.99</t>
  </si>
  <si>
    <t>199.00-199.99</t>
  </si>
  <si>
    <t>200.00-200.99</t>
  </si>
  <si>
    <t>201.00-201.99</t>
  </si>
  <si>
    <t>202.00-202.99</t>
  </si>
  <si>
    <t>203.00-203.99</t>
  </si>
  <si>
    <t>204.00-204.99</t>
  </si>
  <si>
    <t>205.00-205.99</t>
  </si>
  <si>
    <t>206.00-206.99</t>
  </si>
  <si>
    <t>207.00-207.99</t>
  </si>
  <si>
    <t>208.00-208.99</t>
  </si>
  <si>
    <t>209.00-209.99</t>
  </si>
  <si>
    <t>210.00-210.99</t>
  </si>
  <si>
    <t>211.00-211.99</t>
  </si>
  <si>
    <t>212.00-212.99</t>
  </si>
  <si>
    <t>213.00-213.99</t>
  </si>
  <si>
    <t>214.00-214.99</t>
  </si>
  <si>
    <t>215.00-215.99</t>
  </si>
  <si>
    <t>216.00-216.99</t>
  </si>
  <si>
    <t>217.00-217.99</t>
  </si>
  <si>
    <t>218.00-218.99</t>
  </si>
  <si>
    <t>219.00-219.99</t>
  </si>
  <si>
    <t>220.00-220.99</t>
  </si>
  <si>
    <t>221.00-221.99</t>
  </si>
  <si>
    <t>222.00-222.99</t>
  </si>
  <si>
    <t>223.00-223.99</t>
  </si>
  <si>
    <t>224.00-224.99</t>
  </si>
  <si>
    <t>225.00-225.99</t>
  </si>
  <si>
    <t>226.00-226.99</t>
  </si>
  <si>
    <t>227.00-227.99</t>
  </si>
  <si>
    <t>228.00-228.99</t>
  </si>
  <si>
    <t>229.00-229.99</t>
  </si>
  <si>
    <t>230.00-230.99</t>
  </si>
  <si>
    <t>231.00-231.99</t>
  </si>
  <si>
    <t>232.00-232.99</t>
  </si>
  <si>
    <t>233.00-233.99</t>
  </si>
  <si>
    <t>234.00-234.99</t>
  </si>
  <si>
    <t>235.00-235.99</t>
  </si>
  <si>
    <t>236.00-236.99</t>
  </si>
  <si>
    <t>237.00-237.99</t>
  </si>
  <si>
    <t>238.00-238.99</t>
  </si>
  <si>
    <t>239.00-239.99</t>
  </si>
  <si>
    <t>1.00-1.99</t>
  </si>
  <si>
    <t>2.00-2.99</t>
  </si>
  <si>
    <t>3.00-3.99</t>
  </si>
  <si>
    <t>4.00-4.99</t>
  </si>
  <si>
    <t>5.00-5.99</t>
  </si>
  <si>
    <t>6.00-6.99</t>
  </si>
  <si>
    <t>7.00-7.99</t>
  </si>
  <si>
    <t>8.00-8.99</t>
  </si>
  <si>
    <t>9.00-9.99</t>
  </si>
  <si>
    <t>10.00-10.99</t>
  </si>
  <si>
    <t>11.00-11.99</t>
  </si>
  <si>
    <t>12.00-12.99</t>
  </si>
  <si>
    <t>13.00-13.99</t>
  </si>
  <si>
    <t>14.00-14.99</t>
  </si>
  <si>
    <t>15.00-15.99</t>
  </si>
  <si>
    <t>16.00-16.99</t>
  </si>
  <si>
    <t>17.00-17.99</t>
  </si>
  <si>
    <t>18.00-18.99</t>
  </si>
  <si>
    <t>19.00-19.99</t>
  </si>
  <si>
    <t>20.00-20.99</t>
  </si>
  <si>
    <t>21.00-21.99</t>
  </si>
  <si>
    <t>22.00-22.99</t>
  </si>
  <si>
    <t>23.00-23.99</t>
  </si>
  <si>
    <t>Av. days per year</t>
  </si>
  <si>
    <t>Av. days per month</t>
  </si>
  <si>
    <t>No. of Days</t>
  </si>
  <si>
    <t>Total over 4 years</t>
  </si>
  <si>
    <t>0.01-0.99</t>
  </si>
  <si>
    <t>0.00</t>
  </si>
  <si>
    <r>
      <t>85</t>
    </r>
    <r>
      <rPr>
        <b/>
        <vertAlign val="superscript"/>
        <sz val="12"/>
        <color theme="1"/>
        <rFont val="Calibri"/>
        <family val="2"/>
        <scheme val="minor"/>
      </rPr>
      <t>th</t>
    </r>
    <r>
      <rPr>
        <b/>
        <sz val="12"/>
        <color theme="1"/>
        <rFont val="Calibri"/>
        <family val="2"/>
        <scheme val="minor"/>
      </rPr>
      <t xml:space="preserve"> percentile BMI for age</t>
    </r>
  </si>
  <si>
    <t>Category</t>
  </si>
  <si>
    <t>Maximum dose</t>
  </si>
  <si>
    <t>Prescribed dose must not exceed</t>
  </si>
  <si>
    <t>Current BMI</t>
  </si>
  <si>
    <r>
      <t>7.725mg/m</t>
    </r>
    <r>
      <rPr>
        <vertAlign val="superscript"/>
        <sz val="12"/>
        <color theme="1"/>
        <rFont val="Calibri"/>
        <family val="2"/>
        <scheme val="minor"/>
      </rPr>
      <t>2</t>
    </r>
    <r>
      <rPr>
        <sz val="12"/>
        <color theme="1"/>
        <rFont val="Calibri"/>
        <family val="2"/>
        <scheme val="minor"/>
      </rPr>
      <t>/wk</t>
    </r>
  </si>
  <si>
    <r>
      <rPr>
        <vertAlign val="superscript"/>
        <sz val="11"/>
        <color theme="1"/>
        <rFont val="Calibri"/>
        <family val="2"/>
        <scheme val="minor"/>
      </rPr>
      <t>˅</t>
    </r>
    <r>
      <rPr>
        <sz val="11"/>
        <color theme="1"/>
        <rFont val="Calibri"/>
        <family val="2"/>
        <scheme val="minor"/>
      </rPr>
      <t>Non-mature skeleton for females = bone age of less than 13.5 years. Non-mature skeleton for males = bone age of less than 15.5 years.</t>
    </r>
  </si>
  <si>
    <r>
      <t>9.785mg/m</t>
    </r>
    <r>
      <rPr>
        <vertAlign val="superscript"/>
        <sz val="12"/>
        <color theme="1"/>
        <rFont val="Calibri"/>
        <family val="2"/>
        <scheme val="minor"/>
      </rPr>
      <t>2</t>
    </r>
    <r>
      <rPr>
        <sz val="12"/>
        <color theme="1"/>
        <rFont val="Calibri"/>
        <family val="2"/>
        <scheme val="minor"/>
      </rPr>
      <t>/wk</t>
    </r>
  </si>
  <si>
    <t>This product is not recommended at the prescribed weekly dose as the cartridge contents will not be completed within the 14 days shelf -life</t>
  </si>
  <si>
    <t>This product is not recommended at the prescribed weekly dose as the cartridge contents will not be completed within the 21 days shelf -life</t>
  </si>
  <si>
    <t>This product is not recommended at the prescribed weekly dose as the cartridge contents will not be completed within the 28 days shelf -life</t>
  </si>
  <si>
    <t>Number of injections per week (6 or 7)</t>
  </si>
  <si>
    <t>Date of current weight &amp; height measurements (dd/mm/yyyy)</t>
  </si>
  <si>
    <t>Pharmaceutical Benefits Scheme Growth Hormone Program</t>
  </si>
  <si>
    <t>Notice:</t>
  </si>
  <si>
    <t xml:space="preserve">subsidised growth hormone treatment, as detailed in the National Health (Growth Hormone Program) Special Arrangement 2015. It is not </t>
  </si>
  <si>
    <t xml:space="preserve">intended to be used as a substitute for a prescribers clinical judgement on the appropriateness, or otherwise, of a prescribed dose for any </t>
  </si>
  <si>
    <t>particular patient.</t>
  </si>
  <si>
    <t>Short stature associated with Turner Syndrome</t>
  </si>
  <si>
    <t>Short stature and poor body composition due to Prader-Willi Syndrome - non-mature skeleton</t>
  </si>
  <si>
    <t>Short stature and poor body composition due to Prader-Willi Syndrome - mature skeleton</t>
  </si>
  <si>
    <t>This calculator has been developed as a tool for prescribers that reflects the dosing arrangements for Pharmaceutical Benefits Scheme</t>
  </si>
  <si>
    <t>Eli Lilly Australia (Humatrope)</t>
  </si>
  <si>
    <t>Novo Nordisk Australia (Norditropin SimpleXx, Norditropin FlexPro)</t>
  </si>
  <si>
    <t>Ipsen (NutropinAq)</t>
  </si>
  <si>
    <t>Ferring Pharmaceuticals (Zomacton)</t>
  </si>
  <si>
    <t>Merck Serono Australia (Saizen Click.Easy, Saizen Solution)</t>
  </si>
  <si>
    <t>Select the relevant category below to be directed to the appropriate dose and cartridge quantity calculator</t>
  </si>
  <si>
    <t>Go to PWS non-mature skeleton calculator</t>
  </si>
  <si>
    <t>Go to PWS mature skeleton calculator</t>
  </si>
  <si>
    <t>This product is not recommended at the prescribed weekly dose as the single use syringes restrict the weekly dose to a minimum of 3.6mg (6 inj/week) and 4.2mg (7 inj/week)</t>
  </si>
  <si>
    <t>This product is not recommended at the prescribed weekly dose as the single use syringes restrict the weekly dose to a minimum of 4.8mg (6 inj/week) and 5.6mg (7 inj/week)</t>
  </si>
  <si>
    <t>This product is not recommended at the prescribed weekly dose as the single use syringes restrict the weekly dose to a minimum of 6mg (6 inj/week) and 7mg (7 inj/week)</t>
  </si>
  <si>
    <t>This product is not recommended at the prescribed weekly dose as the single use syringes restrict the weekly dose to a minimum of 7.2mg (6 inj/week) and 8.4mg (7 inj/week)</t>
  </si>
  <si>
    <t>This product is not recommended at the prescribed weekly dose as the single use syringes restrict the weekly dose to a minimum of 8.4mg (6 inj/week) and 9.8mg (7 inj/week)</t>
  </si>
  <si>
    <t>This product is not recommended at the prescribed weekly dose as the single use syringes restrict the weekly dose to a minimum of 9.6mg (6 inj/week) and 11.2mg (7 inj/week)</t>
  </si>
  <si>
    <t>This product is not recommended at the prescribed weekly dose as the single use syringes restrict the weekly dose to a minimum of 10.8mg (6 inj/week) and 12.6mg (7 inj/week)</t>
  </si>
  <si>
    <t>This product is not recommended at the prescribed weekly dose as the single use syringes restrict the weekly dose to a minimum of 12mg (6 inj/week) and 14mg (7 inj/week)</t>
  </si>
  <si>
    <r>
      <rPr>
        <vertAlign val="superscript"/>
        <sz val="11"/>
        <color theme="1"/>
        <rFont val="Calibri"/>
        <family val="2"/>
        <scheme val="minor"/>
      </rPr>
      <t>#</t>
    </r>
    <r>
      <rPr>
        <sz val="11"/>
        <color theme="1"/>
        <rFont val="Calibri"/>
        <family val="2"/>
        <scheme val="minor"/>
      </rPr>
      <t>Prescribers should refer to the relevant dose chart as developed by the manufacturer of the chosen product.</t>
    </r>
  </si>
  <si>
    <r>
      <rPr>
        <vertAlign val="superscript"/>
        <sz val="11"/>
        <color theme="1"/>
        <rFont val="Calibri"/>
        <family val="2"/>
        <scheme val="minor"/>
      </rPr>
      <t>#</t>
    </r>
    <r>
      <rPr>
        <sz val="11"/>
        <color theme="1"/>
        <rFont val="Calibri"/>
        <family val="2"/>
        <scheme val="minor"/>
      </rPr>
      <t>Prescribers should refer to the relevant dose charts as developed by the manufacturer of the chosen product.</t>
    </r>
  </si>
  <si>
    <t>Manufacturers/suppliers websites</t>
  </si>
  <si>
    <t xml:space="preserve">*16 weeks' worth of treatment applies for initial and recommencement treatment periods and 13 weeks' worth of treatment applies for continuing treatment periods. One (1) repeat may be prescribed for these treatment periods. </t>
  </si>
  <si>
    <t>10518N</t>
  </si>
  <si>
    <t>10514J</t>
  </si>
  <si>
    <t>6311E</t>
  </si>
  <si>
    <t>10446T</t>
  </si>
  <si>
    <t>6266T</t>
  </si>
  <si>
    <t>5822K</t>
  </si>
  <si>
    <t>6310D</t>
  </si>
  <si>
    <t>5824M</t>
  </si>
  <si>
    <t>3388H</t>
  </si>
  <si>
    <t>5818F</t>
  </si>
  <si>
    <t>6295H</t>
  </si>
  <si>
    <t>5819G</t>
  </si>
  <si>
    <t>6296J</t>
  </si>
  <si>
    <t>9604L</t>
  </si>
  <si>
    <t>5820H</t>
  </si>
  <si>
    <t>6297K</t>
  </si>
  <si>
    <t>6169Q</t>
  </si>
  <si>
    <t>6170R</t>
  </si>
  <si>
    <t>6345Y</t>
  </si>
  <si>
    <t>9586M</t>
  </si>
  <si>
    <t>9585L</t>
  </si>
  <si>
    <t>9628R</t>
  </si>
  <si>
    <t>6313G</t>
  </si>
  <si>
    <t>6314H</t>
  </si>
  <si>
    <t>6315J</t>
  </si>
  <si>
    <t>6316K</t>
  </si>
  <si>
    <t>6317L</t>
  </si>
  <si>
    <t>6318M</t>
  </si>
  <si>
    <t>6319N</t>
  </si>
  <si>
    <t>Continuing treatment phases                                                (both with and without reclassification)</t>
  </si>
  <si>
    <t>PBS Item Codes</t>
  </si>
  <si>
    <t>10452D</t>
  </si>
  <si>
    <t>10462P</t>
  </si>
  <si>
    <t>10440L</t>
  </si>
  <si>
    <t>10483R</t>
  </si>
  <si>
    <t>10497L</t>
  </si>
  <si>
    <t>Initial treatment phases</t>
  </si>
  <si>
    <t>Recommencement treatment phases                            (both with and without reclassification)</t>
  </si>
  <si>
    <t>10447W</t>
  </si>
  <si>
    <t>10458K</t>
  </si>
  <si>
    <t>10455G</t>
  </si>
  <si>
    <t>10495J</t>
  </si>
  <si>
    <t>10442N</t>
  </si>
  <si>
    <t>10507B</t>
  </si>
  <si>
    <t>10441M</t>
  </si>
  <si>
    <t>10506Y</t>
  </si>
  <si>
    <t>10490D</t>
  </si>
  <si>
    <t>10432C</t>
  </si>
  <si>
    <t>10469B</t>
  </si>
  <si>
    <t>10439K</t>
  </si>
  <si>
    <t>10451C</t>
  </si>
  <si>
    <t>10478L</t>
  </si>
  <si>
    <t>10449Y</t>
  </si>
  <si>
    <t>10468Y</t>
  </si>
  <si>
    <t>10482Q</t>
  </si>
  <si>
    <t>10487Y</t>
  </si>
  <si>
    <t>10476J</t>
  </si>
  <si>
    <t>10512G</t>
  </si>
  <si>
    <t>10481P</t>
  </si>
  <si>
    <t>10519P</t>
  </si>
  <si>
    <t>10485W</t>
  </si>
  <si>
    <t>10429X</t>
  </si>
  <si>
    <t>10461N</t>
  </si>
  <si>
    <t>10502R</t>
  </si>
  <si>
    <t>10437H</t>
  </si>
  <si>
    <t>10467X</t>
  </si>
  <si>
    <t>10448X</t>
  </si>
  <si>
    <t>10496K</t>
  </si>
  <si>
    <t>10438J</t>
  </si>
  <si>
    <t>10470C</t>
  </si>
  <si>
    <t>10489C</t>
  </si>
  <si>
    <t>10426R</t>
  </si>
  <si>
    <t>10435F</t>
  </si>
  <si>
    <t>10477K</t>
  </si>
  <si>
    <t>10463Q</t>
  </si>
  <si>
    <t>10430Y</t>
  </si>
  <si>
    <t>10457J</t>
  </si>
  <si>
    <t>10434E</t>
  </si>
  <si>
    <t>10498M</t>
  </si>
  <si>
    <t>10501Q</t>
  </si>
  <si>
    <t>10472E</t>
  </si>
  <si>
    <t>10431B</t>
  </si>
  <si>
    <t>10443P</t>
  </si>
  <si>
    <t>10456H</t>
  </si>
  <si>
    <t>10479M</t>
  </si>
  <si>
    <t>10480N</t>
  </si>
  <si>
    <t>10453E</t>
  </si>
  <si>
    <t>10488B</t>
  </si>
  <si>
    <t>10454F</t>
  </si>
  <si>
    <t>10500P</t>
  </si>
  <si>
    <t>10428W</t>
  </si>
  <si>
    <r>
      <t>85</t>
    </r>
    <r>
      <rPr>
        <b/>
        <i/>
        <vertAlign val="superscript"/>
        <sz val="12"/>
        <color theme="1"/>
        <rFont val="Calibri"/>
        <family val="2"/>
        <scheme val="minor"/>
      </rPr>
      <t>th</t>
    </r>
    <r>
      <rPr>
        <b/>
        <i/>
        <sz val="12"/>
        <color theme="1"/>
        <rFont val="Calibri"/>
        <family val="2"/>
        <scheme val="minor"/>
      </rPr>
      <t xml:space="preserve"> percentile BMI for age (in months) and sex</t>
    </r>
  </si>
  <si>
    <t>Genotropin MiniQuick 0.6mg</t>
  </si>
  <si>
    <t>Genotropin MiniQuick 0.8mg</t>
  </si>
  <si>
    <t>Genotropin MiniQuick 1.0mg</t>
  </si>
  <si>
    <t>Genotropin MiniQuick 1.2mg</t>
  </si>
  <si>
    <t>Genotropin MiniQuick 1.4mg</t>
  </si>
  <si>
    <t>Genotropin MiniQuick 1.6mg</t>
  </si>
  <si>
    <t>Genotropin MiniQuick 1.8mg</t>
  </si>
  <si>
    <t>Genotropin MiniQuick 2.0mg</t>
  </si>
  <si>
    <t>Calculation of quantity of catridges required</t>
  </si>
  <si>
    <r>
      <t xml:space="preserve">No. of cartridges required for an </t>
    </r>
    <r>
      <rPr>
        <b/>
        <u/>
        <sz val="12"/>
        <color theme="1"/>
        <rFont val="Calibri"/>
        <family val="2"/>
        <scheme val="minor"/>
      </rPr>
      <t>initial</t>
    </r>
    <r>
      <rPr>
        <b/>
        <sz val="12"/>
        <color theme="1"/>
        <rFont val="Calibri"/>
        <family val="2"/>
        <scheme val="minor"/>
      </rPr>
      <t xml:space="preserve"> or </t>
    </r>
    <r>
      <rPr>
        <b/>
        <u/>
        <sz val="12"/>
        <color theme="1"/>
        <rFont val="Calibri"/>
        <family val="2"/>
        <scheme val="minor"/>
      </rPr>
      <t>recommencement</t>
    </r>
    <r>
      <rPr>
        <b/>
        <sz val="12"/>
        <color theme="1"/>
        <rFont val="Calibri"/>
        <family val="2"/>
        <scheme val="minor"/>
      </rPr>
      <t xml:space="preserve"> treatment period</t>
    </r>
  </si>
  <si>
    <r>
      <t xml:space="preserve">No. of cartridges required for a </t>
    </r>
    <r>
      <rPr>
        <b/>
        <u/>
        <sz val="12"/>
        <color theme="1"/>
        <rFont val="Calibri"/>
        <family val="2"/>
        <scheme val="minor"/>
      </rPr>
      <t>continuing</t>
    </r>
    <r>
      <rPr>
        <b/>
        <sz val="12"/>
        <color theme="1"/>
        <rFont val="Calibri"/>
        <family val="2"/>
        <scheme val="minor"/>
      </rPr>
      <t xml:space="preserve"> treatment period</t>
    </r>
  </si>
  <si>
    <t>Dose and cartridge quantity calculator</t>
  </si>
  <si>
    <t>Calculation of quantity of cartridges required</t>
  </si>
  <si>
    <r>
      <t xml:space="preserve">Humatrope 6mg                                       </t>
    </r>
    <r>
      <rPr>
        <sz val="10"/>
        <color theme="1"/>
        <rFont val="Calibri"/>
        <family val="2"/>
        <scheme val="minor"/>
      </rPr>
      <t xml:space="preserve">(note: not subsidised for treatment of patients with chronic renal insufficiency </t>
    </r>
    <r>
      <rPr>
        <u/>
        <sz val="10"/>
        <color theme="1"/>
        <rFont val="Calibri"/>
        <family val="2"/>
        <scheme val="minor"/>
      </rPr>
      <t>from commencement of puberty</t>
    </r>
    <r>
      <rPr>
        <sz val="10"/>
        <color theme="1"/>
        <rFont val="Calibri"/>
        <family val="2"/>
        <scheme val="minor"/>
      </rPr>
      <t>)</t>
    </r>
  </si>
  <si>
    <r>
      <t xml:space="preserve">Humatrope 12mg                                                     </t>
    </r>
    <r>
      <rPr>
        <sz val="10"/>
        <color theme="1"/>
        <rFont val="Calibri"/>
        <family val="2"/>
        <scheme val="minor"/>
      </rPr>
      <t xml:space="preserve">(note: not subsidised for treatment of patients with chronic renal insufficiency </t>
    </r>
    <r>
      <rPr>
        <u/>
        <sz val="10"/>
        <color theme="1"/>
        <rFont val="Calibri"/>
        <family val="2"/>
        <scheme val="minor"/>
      </rPr>
      <t>from commencement of puberty</t>
    </r>
    <r>
      <rPr>
        <sz val="10"/>
        <color theme="1"/>
        <rFont val="Calibri"/>
        <family val="2"/>
        <scheme val="minor"/>
      </rPr>
      <t>)</t>
    </r>
  </si>
  <si>
    <r>
      <t xml:space="preserve">Humatrope 24mg                                                   </t>
    </r>
    <r>
      <rPr>
        <sz val="10"/>
        <color theme="1"/>
        <rFont val="Calibri"/>
        <family val="2"/>
        <scheme val="minor"/>
      </rPr>
      <t xml:space="preserve">(note: not subsidised for treatment of patients with chronic renal insufficiency </t>
    </r>
    <r>
      <rPr>
        <u/>
        <sz val="10"/>
        <color theme="1"/>
        <rFont val="Calibri"/>
        <family val="2"/>
        <scheme val="minor"/>
      </rPr>
      <t>from commencement of puberty</t>
    </r>
    <r>
      <rPr>
        <sz val="10"/>
        <color theme="1"/>
        <rFont val="Calibri"/>
        <family val="2"/>
        <scheme val="minor"/>
      </rPr>
      <t>)</t>
    </r>
  </si>
  <si>
    <r>
      <t xml:space="preserve">Zomacton 4mg                                              </t>
    </r>
    <r>
      <rPr>
        <sz val="10"/>
        <color theme="1"/>
        <rFont val="Calibri"/>
        <family val="2"/>
        <scheme val="minor"/>
      </rPr>
      <t>(note: not subsidised for treatment of patients with chronic renal insufficiency)</t>
    </r>
  </si>
  <si>
    <r>
      <t xml:space="preserve">Zomacton 10mg                                             </t>
    </r>
    <r>
      <rPr>
        <sz val="10"/>
        <color theme="1"/>
        <rFont val="Calibri"/>
        <family val="2"/>
        <scheme val="minor"/>
      </rPr>
      <t>(note: not subsidised for treatment of patients with chronic renal insufficiency)</t>
    </r>
  </si>
  <si>
    <r>
      <t xml:space="preserve">Omnitrope SurePal 5mg                                              </t>
    </r>
    <r>
      <rPr>
        <sz val="10"/>
        <color theme="1"/>
        <rFont val="Calibri"/>
        <family val="2"/>
        <scheme val="minor"/>
      </rPr>
      <t>(note: not subsidised for treatment of patients under 3 years)</t>
    </r>
  </si>
  <si>
    <r>
      <t xml:space="preserve">Omnitrope SurePal 10mg                                         </t>
    </r>
    <r>
      <rPr>
        <sz val="10"/>
        <color theme="1"/>
        <rFont val="Calibri"/>
        <family val="2"/>
        <scheme val="minor"/>
      </rPr>
      <t>(note: not subsidised for treatment of patients under 3 years)</t>
    </r>
  </si>
  <si>
    <r>
      <t xml:space="preserve">Omnitrope SurePal 15mg                                            </t>
    </r>
    <r>
      <rPr>
        <sz val="10"/>
        <color theme="1"/>
        <rFont val="Calibri"/>
        <family val="2"/>
        <scheme val="minor"/>
      </rPr>
      <t>(note: not subsidised for treatment of patients under 3 years)</t>
    </r>
  </si>
  <si>
    <t>Genotropin MiniQuick 0.4mg</t>
  </si>
  <si>
    <t>This product is not recommended at the prescribed weekly dose as the single use syringes restrict the weekly dose to a minimum of 2.4mg (6 inj/week) and 2.8mg (7 inj/week)</t>
  </si>
  <si>
    <t>Genotropin MiniQuick 0.4mgx7</t>
  </si>
  <si>
    <t>10891F</t>
  </si>
  <si>
    <t>10902T</t>
  </si>
  <si>
    <t>10908D</t>
  </si>
  <si>
    <r>
      <t xml:space="preserve">Saizen Solution 6mg                                                       </t>
    </r>
    <r>
      <rPr>
        <sz val="10"/>
        <color theme="1"/>
        <rFont val="Calibri"/>
        <family val="2"/>
        <scheme val="minor"/>
      </rPr>
      <t xml:space="preserve"> (note: subsidised for treatment of prepubertal patients with chronic renal insufficiency from 1/4/17. Not subsidised for treatment of patients with chronic renal insufficiency from commencement of puberty.)</t>
    </r>
  </si>
  <si>
    <r>
      <t xml:space="preserve">Saizen Solution 12mg                                                       </t>
    </r>
    <r>
      <rPr>
        <sz val="10"/>
        <color theme="1"/>
        <rFont val="Calibri"/>
        <family val="2"/>
        <scheme val="minor"/>
      </rPr>
      <t>(note: subsidised for treatment of prepubertal patients with chronic renal insufficiency from 1/4/17. Not subsidised for treatment of patients with chronic renal insufficiency from commencement of puberty.)</t>
    </r>
  </si>
  <si>
    <r>
      <t xml:space="preserve">Saizen Solution 20mg                                             </t>
    </r>
    <r>
      <rPr>
        <sz val="10"/>
        <color theme="1"/>
        <rFont val="Calibri"/>
        <family val="2"/>
        <scheme val="minor"/>
      </rPr>
      <t>(note: subsidised for treatment of prepubertal patients with chronic renal insufficiency from 1/4/17. Not subsidised for treatment of patients with chronic renal insufficiency from commencement of puberty.)</t>
    </r>
  </si>
  <si>
    <t>Height (cm)</t>
  </si>
  <si>
    <t>Ideal body weight (kg)</t>
  </si>
  <si>
    <r>
      <t>85</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males</t>
    </r>
  </si>
  <si>
    <r>
      <t>85</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females</t>
    </r>
  </si>
  <si>
    <r>
      <t>0.0412mg/kg/wk</t>
    </r>
    <r>
      <rPr>
        <vertAlign val="superscript"/>
        <sz val="12"/>
        <color theme="1"/>
        <rFont val="Calibri"/>
        <family val="2"/>
        <scheme val="minor"/>
      </rPr>
      <t>˅</t>
    </r>
  </si>
  <si>
    <r>
      <t>0.04mg/kg/wk</t>
    </r>
    <r>
      <rPr>
        <vertAlign val="superscript"/>
        <sz val="12"/>
        <color theme="1"/>
        <rFont val="Calibri"/>
        <family val="2"/>
        <scheme val="minor"/>
      </rPr>
      <t>˅</t>
    </r>
  </si>
  <si>
    <r>
      <rPr>
        <vertAlign val="superscript"/>
        <sz val="11"/>
        <color theme="1"/>
        <rFont val="Calibri"/>
        <family val="2"/>
      </rPr>
      <t>»</t>
    </r>
    <r>
      <rPr>
        <sz val="11"/>
        <color theme="1"/>
        <rFont val="Calibri"/>
        <family val="2"/>
        <scheme val="minor"/>
      </rPr>
      <t xml:space="preserve">16 weeks' worth of treatment applies for initial and recommencement treatment periods and 13 weeks' worth of treatment applies for continuing treatment periods. One (1) repeat may be prescribed for these treatment periods. </t>
    </r>
  </si>
  <si>
    <r>
      <rPr>
        <sz val="11"/>
        <color theme="1"/>
        <rFont val="Calibri"/>
        <family val="2"/>
      </rPr>
      <t>~</t>
    </r>
    <r>
      <rPr>
        <sz val="11"/>
        <color theme="1"/>
        <rFont val="Calibri"/>
        <family val="2"/>
        <scheme val="minor"/>
      </rPr>
      <t>Mature skeleton for females = bone age of 13.5 years or more. Mature skeleton for males = bone age of 15.5 years or more.</t>
    </r>
  </si>
  <si>
    <r>
      <t>Short stature and poor body composition due to Prader-Willi syndrome - mature skeleton</t>
    </r>
    <r>
      <rPr>
        <sz val="12"/>
        <color theme="1"/>
        <rFont val="Calibri"/>
        <family val="2"/>
      </rPr>
      <t>~</t>
    </r>
  </si>
  <si>
    <r>
      <t>Prescribed dose in mg/m</t>
    </r>
    <r>
      <rPr>
        <vertAlign val="superscript"/>
        <sz val="12"/>
        <color theme="1"/>
        <rFont val="Calibri"/>
        <family val="2"/>
        <scheme val="minor"/>
      </rPr>
      <t>2</t>
    </r>
    <r>
      <rPr>
        <sz val="12"/>
        <color theme="1"/>
        <rFont val="Calibri"/>
        <family val="2"/>
        <scheme val="minor"/>
      </rPr>
      <t>/wk</t>
    </r>
    <r>
      <rPr>
        <sz val="12"/>
        <color theme="1"/>
        <rFont val="Times New Roman"/>
        <family val="1"/>
      </rPr>
      <t>°</t>
    </r>
  </si>
  <si>
    <r>
      <rPr>
        <sz val="11"/>
        <rFont val="Times New Roman"/>
        <family val="1"/>
      </rPr>
      <t>°</t>
    </r>
    <r>
      <rPr>
        <sz val="11"/>
        <rFont val="Calibri"/>
        <family val="2"/>
        <scheme val="minor"/>
      </rPr>
      <t xml:space="preserve">Prescribed dose must be equal to or less than the maximum dose plus 3% detailed for the category in the table </t>
    </r>
    <r>
      <rPr>
        <i/>
        <sz val="11"/>
        <rFont val="Calibri"/>
        <family val="2"/>
        <scheme val="minor"/>
      </rPr>
      <t>Maximum dose per category</t>
    </r>
    <r>
      <rPr>
        <sz val="11"/>
        <rFont val="Calibri"/>
        <family val="2"/>
        <scheme val="minor"/>
      </rPr>
      <t xml:space="preserve"> (above)</t>
    </r>
  </si>
  <si>
    <r>
      <t>Equivalent dose in 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</si>
  <si>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rPr>
        <vertAlign val="superscript"/>
        <sz val="11"/>
        <color theme="1"/>
        <rFont val="Calibri"/>
        <family val="2"/>
      </rPr>
      <t>»</t>
    </r>
    <r>
      <rPr>
        <sz val="11"/>
        <color theme="1"/>
        <rFont val="Calibri"/>
        <family val="2"/>
        <scheme val="minor"/>
      </rPr>
      <t>The equivalent dose in mg/m</t>
    </r>
    <r>
      <rPr>
        <vertAlign val="superscript"/>
        <sz val="11"/>
        <color theme="1"/>
        <rFont val="Calibri"/>
        <family val="2"/>
        <scheme val="minor"/>
      </rPr>
      <t>2</t>
    </r>
    <r>
      <rPr>
        <sz val="11"/>
        <color theme="1"/>
        <rFont val="Calibri"/>
        <family val="2"/>
        <scheme val="minor"/>
      </rPr>
      <t>/wk must be no more than 3% greater than the maximum dose detailed for the category. See P</t>
    </r>
    <r>
      <rPr>
        <i/>
        <sz val="11"/>
        <color theme="1"/>
        <rFont val="Calibri"/>
        <family val="2"/>
        <scheme val="minor"/>
      </rPr>
      <t>rescribed dose must not exceed</t>
    </r>
    <r>
      <rPr>
        <sz val="11"/>
        <color theme="1"/>
        <rFont val="Calibri"/>
        <family val="2"/>
        <scheme val="minor"/>
      </rPr>
      <t xml:space="preserve"> in the table </t>
    </r>
    <r>
      <rPr>
        <i/>
        <sz val="11"/>
        <color theme="1"/>
        <rFont val="Calibri"/>
        <family val="2"/>
        <scheme val="minor"/>
      </rPr>
      <t>Maximum dose per category</t>
    </r>
    <r>
      <rPr>
        <sz val="11"/>
        <color theme="1"/>
        <rFont val="Calibri"/>
        <family val="2"/>
        <scheme val="minor"/>
      </rPr>
      <t xml:space="preserve"> (above).</t>
    </r>
  </si>
  <si>
    <r>
      <rPr>
        <sz val="11"/>
        <color theme="1"/>
        <rFont val="Calibri"/>
        <family val="2"/>
      </rPr>
      <t>~</t>
    </r>
    <r>
      <rPr>
        <sz val="11"/>
        <color theme="1"/>
        <rFont val="Calibri"/>
        <family val="2"/>
        <scheme val="minor"/>
      </rPr>
      <t xml:space="preserve">16 weeks' worth of treatment applies for initial and recommencement treatment periods and 13 weeks' worth of treatment applies for continuing treatment periods. One (1) repeat may be prescribed for these treatment periods. </t>
    </r>
  </si>
  <si>
    <r>
      <t>7.5mg/m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</si>
  <si>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t>7.725mg/m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</si>
  <si>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t>Prescribed dose in mg/m</t>
    </r>
    <r>
      <rPr>
        <vertAlign val="superscript"/>
        <sz val="12"/>
        <color theme="1"/>
        <rFont val="Calibri"/>
        <family val="2"/>
        <scheme val="minor"/>
      </rPr>
      <t>2</t>
    </r>
    <r>
      <rPr>
        <sz val="12"/>
        <color theme="1"/>
        <rFont val="Calibri"/>
        <family val="2"/>
        <scheme val="minor"/>
      </rPr>
      <t>/wk</t>
    </r>
    <r>
      <rPr>
        <sz val="12"/>
        <color theme="1"/>
        <rFont val="Calibri"/>
        <family val="2"/>
      </rPr>
      <t>˭</t>
    </r>
  </si>
  <si>
    <r>
      <rPr>
        <sz val="11"/>
        <rFont val="Calibri"/>
        <family val="2"/>
      </rPr>
      <t>˭</t>
    </r>
    <r>
      <rPr>
        <sz val="11"/>
        <rFont val="Calibri"/>
        <family val="2"/>
        <scheme val="minor"/>
      </rPr>
      <t xml:space="preserve">Prescribed dose must be equal to or less than the maximum dose plus 3% detailed for the category in the table </t>
    </r>
    <r>
      <rPr>
        <i/>
        <sz val="11"/>
        <rFont val="Calibri"/>
        <family val="2"/>
        <scheme val="minor"/>
      </rPr>
      <t>Maximum dose per category</t>
    </r>
    <r>
      <rPr>
        <sz val="11"/>
        <rFont val="Calibri"/>
        <family val="2"/>
        <scheme val="minor"/>
      </rPr>
      <t xml:space="preserve"> (above)</t>
    </r>
  </si>
  <si>
    <r>
      <t>Equivalent dose in 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</si>
  <si>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rPr>
        <vertAlign val="superscript"/>
        <sz val="11"/>
        <color theme="1"/>
        <rFont val="Calibri"/>
        <family val="2"/>
      </rPr>
      <t>‡</t>
    </r>
    <r>
      <rPr>
        <sz val="11"/>
        <color theme="1"/>
        <rFont val="Calibri"/>
        <family val="2"/>
        <scheme val="minor"/>
      </rPr>
      <t>The equivalent dose in mg/m</t>
    </r>
    <r>
      <rPr>
        <vertAlign val="superscript"/>
        <sz val="11"/>
        <color theme="1"/>
        <rFont val="Calibri"/>
        <family val="2"/>
        <scheme val="minor"/>
      </rPr>
      <t>2</t>
    </r>
    <r>
      <rPr>
        <sz val="11"/>
        <color theme="1"/>
        <rFont val="Calibri"/>
        <family val="2"/>
        <scheme val="minor"/>
      </rPr>
      <t xml:space="preserve">/wk must be no more than 3% greater than the maximum dose detailed for the category. See </t>
    </r>
    <r>
      <rPr>
        <i/>
        <sz val="11"/>
        <color theme="1"/>
        <rFont val="Calibri"/>
        <family val="2"/>
        <scheme val="minor"/>
      </rPr>
      <t>Prescribed dose must not exceed</t>
    </r>
    <r>
      <rPr>
        <sz val="11"/>
        <color theme="1"/>
        <rFont val="Calibri"/>
        <family val="2"/>
        <scheme val="minor"/>
      </rPr>
      <t xml:space="preserve"> in the table </t>
    </r>
    <r>
      <rPr>
        <i/>
        <sz val="11"/>
        <color theme="1"/>
        <rFont val="Calibri"/>
        <family val="2"/>
        <scheme val="minor"/>
      </rPr>
      <t>Maximum dose per category</t>
    </r>
    <r>
      <rPr>
        <sz val="11"/>
        <color theme="1"/>
        <rFont val="Calibri"/>
        <family val="2"/>
        <scheme val="minor"/>
      </rPr>
      <t xml:space="preserve"> (above).</t>
    </r>
  </si>
  <si>
    <r>
      <t>Equivalent dose in mg/kg/wk</t>
    </r>
    <r>
      <rPr>
        <vertAlign val="superscript"/>
        <sz val="12"/>
        <color theme="1"/>
        <rFont val="Calibri"/>
        <family val="2"/>
      </rPr>
      <t>‡</t>
    </r>
  </si>
  <si>
    <r>
      <rPr>
        <vertAlign val="superscript"/>
        <sz val="11"/>
        <color theme="1"/>
        <rFont val="Calibri"/>
        <family val="2"/>
      </rPr>
      <t>‡</t>
    </r>
    <r>
      <rPr>
        <sz val="11"/>
        <color theme="1"/>
        <rFont val="Calibri"/>
        <family val="2"/>
        <scheme val="minor"/>
      </rPr>
      <t xml:space="preserve">The equivalent dose in mg/kg/wk must be no more than 3% greater than the maximum dose detailed for the category. See </t>
    </r>
    <r>
      <rPr>
        <i/>
        <sz val="11"/>
        <color theme="1"/>
        <rFont val="Calibri"/>
        <family val="2"/>
        <scheme val="minor"/>
      </rPr>
      <t>Prescribed dose must not exceed</t>
    </r>
    <r>
      <rPr>
        <sz val="11"/>
        <color theme="1"/>
        <rFont val="Calibri"/>
        <family val="2"/>
        <scheme val="minor"/>
      </rPr>
      <t xml:space="preserve"> in the table </t>
    </r>
    <r>
      <rPr>
        <i/>
        <sz val="11"/>
        <color theme="1"/>
        <rFont val="Calibri"/>
        <family val="2"/>
        <scheme val="minor"/>
      </rPr>
      <t xml:space="preserve">Maximum dose per category </t>
    </r>
    <r>
      <rPr>
        <sz val="11"/>
        <color theme="1"/>
        <rFont val="Calibri"/>
        <family val="2"/>
        <scheme val="minor"/>
      </rPr>
      <t>(above).</t>
    </r>
  </si>
  <si>
    <r>
      <t xml:space="preserve">7.    Using the age in months determined at step 3, locate the relevant age in the table </t>
    </r>
    <r>
      <rPr>
        <i/>
        <sz val="13"/>
        <color theme="1"/>
        <rFont val="Calibri"/>
        <family val="2"/>
        <scheme val="minor"/>
      </rPr>
      <t>85</t>
    </r>
    <r>
      <rPr>
        <i/>
        <vertAlign val="superscript"/>
        <sz val="13"/>
        <color theme="1"/>
        <rFont val="Calibri"/>
        <family val="2"/>
        <scheme val="minor"/>
      </rPr>
      <t>th</t>
    </r>
    <r>
      <rPr>
        <i/>
        <sz val="13"/>
        <color theme="1"/>
        <rFont val="Calibri"/>
        <family val="2"/>
        <scheme val="minor"/>
      </rPr>
      <t xml:space="preserve"> percentile BMI for age </t>
    </r>
    <r>
      <rPr>
        <sz val="13"/>
        <color theme="1"/>
        <rFont val="Calibri"/>
        <family val="2"/>
        <scheme val="minor"/>
      </rPr>
      <t>(green table). Copy the figure listed as being the 85</t>
    </r>
    <r>
      <rPr>
        <vertAlign val="superscript"/>
        <sz val="13"/>
        <color theme="1"/>
        <rFont val="Calibri"/>
        <family val="2"/>
        <scheme val="minor"/>
      </rPr>
      <t>th</t>
    </r>
    <r>
      <rPr>
        <sz val="13"/>
        <color theme="1"/>
        <rFont val="Calibri"/>
        <family val="2"/>
        <scheme val="minor"/>
      </rPr>
      <t xml:space="preserve"> percentile BMI for the patient's age and sex.</t>
    </r>
  </si>
  <si>
    <r>
      <rPr>
        <sz val="11"/>
        <color theme="1"/>
        <rFont val="Calibri"/>
        <family val="2"/>
      </rPr>
      <t>*A</t>
    </r>
    <r>
      <rPr>
        <sz val="11"/>
        <color theme="1"/>
        <rFont val="Calibri"/>
        <family val="2"/>
        <scheme val="minor"/>
      </rPr>
      <t xml:space="preserve"> dose based on actual weight may be prescribed for patients who have a BMI above the 85</t>
    </r>
    <r>
      <rPr>
        <vertAlign val="superscript"/>
        <sz val="11"/>
        <color theme="1"/>
        <rFont val="Calibri"/>
        <family val="2"/>
        <scheme val="minor"/>
      </rPr>
      <t>th</t>
    </r>
    <r>
      <rPr>
        <sz val="11"/>
        <color theme="1"/>
        <rFont val="Calibri"/>
        <family val="2"/>
        <scheme val="minor"/>
      </rPr>
      <t xml:space="preserve"> percentile for age and sex provided the resultant </t>
    </r>
    <r>
      <rPr>
        <i/>
        <sz val="11"/>
        <color theme="1"/>
        <rFont val="Calibri"/>
        <family val="2"/>
        <scheme val="minor"/>
      </rPr>
      <t>equivalent weekly dose in mg</t>
    </r>
    <r>
      <rPr>
        <sz val="11"/>
        <color theme="1"/>
        <rFont val="Calibri"/>
        <family val="2"/>
        <scheme val="minor"/>
      </rPr>
      <t xml:space="preserve"> does not exceed the </t>
    </r>
    <r>
      <rPr>
        <u/>
        <sz val="11"/>
        <color theme="1"/>
        <rFont val="Calibri"/>
        <family val="2"/>
        <scheme val="minor"/>
      </rPr>
      <t>maximum</t>
    </r>
    <r>
      <rPr>
        <sz val="11"/>
        <color theme="1"/>
        <rFont val="Calibri"/>
        <family val="2"/>
        <scheme val="minor"/>
      </rPr>
      <t xml:space="preserve"> </t>
    </r>
    <r>
      <rPr>
        <i/>
        <sz val="11"/>
        <color theme="1"/>
        <rFont val="Calibri"/>
        <family val="2"/>
        <scheme val="minor"/>
      </rPr>
      <t>equivalent weekly dose in mg</t>
    </r>
    <r>
      <rPr>
        <sz val="11"/>
        <color theme="1"/>
        <rFont val="Calibri"/>
        <family val="2"/>
        <scheme val="minor"/>
      </rPr>
      <t xml:space="preserve"> the patient is</t>
    </r>
  </si>
  <si>
    <r>
      <rPr>
        <sz val="11"/>
        <color theme="1"/>
        <rFont val="Calibri"/>
        <family val="2"/>
      </rPr>
      <t xml:space="preserve">*A </t>
    </r>
    <r>
      <rPr>
        <sz val="11"/>
        <color theme="1"/>
        <rFont val="Calibri"/>
        <family val="2"/>
        <scheme val="minor"/>
      </rPr>
      <t>dose based on actual weight may be prescribed for patients who have a BMI above the 85</t>
    </r>
    <r>
      <rPr>
        <vertAlign val="superscript"/>
        <sz val="11"/>
        <color theme="1"/>
        <rFont val="Calibri"/>
        <family val="2"/>
        <scheme val="minor"/>
      </rPr>
      <t>th</t>
    </r>
    <r>
      <rPr>
        <sz val="11"/>
        <color theme="1"/>
        <rFont val="Calibri"/>
        <family val="2"/>
        <scheme val="minor"/>
      </rPr>
      <t xml:space="preserve"> percentile for age and sex provided the resultant </t>
    </r>
    <r>
      <rPr>
        <i/>
        <sz val="11"/>
        <color theme="1"/>
        <rFont val="Calibri"/>
        <family val="2"/>
        <scheme val="minor"/>
      </rPr>
      <t>equivalent weekly dose in mg</t>
    </r>
    <r>
      <rPr>
        <sz val="11"/>
        <color theme="1"/>
        <rFont val="Calibri"/>
        <family val="2"/>
        <scheme val="minor"/>
      </rPr>
      <t xml:space="preserve"> does not exceed the </t>
    </r>
    <r>
      <rPr>
        <u/>
        <sz val="11"/>
        <color theme="1"/>
        <rFont val="Calibri"/>
        <family val="2"/>
        <scheme val="minor"/>
      </rPr>
      <t>maximum</t>
    </r>
    <r>
      <rPr>
        <sz val="11"/>
        <color theme="1"/>
        <rFont val="Calibri"/>
        <family val="2"/>
        <scheme val="minor"/>
      </rPr>
      <t xml:space="preserve"> </t>
    </r>
    <r>
      <rPr>
        <i/>
        <sz val="11"/>
        <color theme="1"/>
        <rFont val="Calibri"/>
        <family val="2"/>
        <scheme val="minor"/>
      </rPr>
      <t>equivalent weekly dose in mg</t>
    </r>
    <r>
      <rPr>
        <sz val="11"/>
        <color theme="1"/>
        <rFont val="Calibri"/>
        <family val="2"/>
        <scheme val="minor"/>
      </rPr>
      <t xml:space="preserve"> the patient is</t>
    </r>
  </si>
  <si>
    <r>
      <t>50</t>
    </r>
    <r>
      <rPr>
        <b/>
        <vertAlign val="superscript"/>
        <sz val="12"/>
        <color theme="1"/>
        <rFont val="Calibri"/>
        <family val="2"/>
        <scheme val="minor"/>
      </rPr>
      <t>th</t>
    </r>
    <r>
      <rPr>
        <b/>
        <sz val="12"/>
        <color theme="1"/>
        <rFont val="Calibri"/>
        <family val="2"/>
        <scheme val="minor"/>
      </rPr>
      <t xml:space="preserve"> percentile BMI for age</t>
    </r>
  </si>
  <si>
    <r>
      <t>50</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males</t>
    </r>
  </si>
  <si>
    <r>
      <t>50</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females</t>
    </r>
  </si>
  <si>
    <r>
      <t>50</t>
    </r>
    <r>
      <rPr>
        <vertAlign val="superscript"/>
        <sz val="11"/>
        <color theme="1"/>
        <rFont val="Calibri"/>
        <family val="2"/>
        <scheme val="minor"/>
      </rPr>
      <t>th</t>
    </r>
    <r>
      <rPr>
        <sz val="11"/>
        <color theme="1"/>
        <rFont val="Calibri"/>
        <family val="2"/>
        <scheme val="minor"/>
      </rPr>
      <t xml:space="preserve"> percentile BMI for age (in months) and sex</t>
    </r>
  </si>
  <si>
    <r>
      <t xml:space="preserve">13. Using the age in months determined at step 3, locate the relevant age in the table </t>
    </r>
    <r>
      <rPr>
        <i/>
        <sz val="13"/>
        <rFont val="Calibri"/>
        <family val="2"/>
        <scheme val="minor"/>
      </rPr>
      <t>50</t>
    </r>
    <r>
      <rPr>
        <i/>
        <vertAlign val="superscript"/>
        <sz val="13"/>
        <rFont val="Calibri"/>
        <family val="2"/>
        <scheme val="minor"/>
      </rPr>
      <t>th</t>
    </r>
    <r>
      <rPr>
        <i/>
        <sz val="13"/>
        <rFont val="Calibri"/>
        <family val="2"/>
        <scheme val="minor"/>
      </rPr>
      <t xml:space="preserve"> percentile BMI for age</t>
    </r>
    <r>
      <rPr>
        <sz val="13"/>
        <rFont val="Calibri"/>
        <family val="2"/>
        <scheme val="minor"/>
      </rPr>
      <t xml:space="preserve"> (yellow table). Copy the figure listed as being the 50</t>
    </r>
    <r>
      <rPr>
        <vertAlign val="superscript"/>
        <sz val="13"/>
        <rFont val="Calibri"/>
        <family val="2"/>
        <scheme val="minor"/>
      </rPr>
      <t>th</t>
    </r>
    <r>
      <rPr>
        <sz val="13"/>
        <rFont val="Calibri"/>
        <family val="2"/>
        <scheme val="minor"/>
      </rPr>
      <t xml:space="preserve"> percentile BMI for the patient's age and sex.</t>
    </r>
  </si>
  <si>
    <t>11. Locate the height closest to the patient's current height (in cms):</t>
  </si>
  <si>
    <r>
      <t>12. Enter the weight listed as being the 50</t>
    </r>
    <r>
      <rPr>
        <vertAlign val="superscript"/>
        <sz val="13"/>
        <rFont val="Calibri"/>
        <family val="2"/>
        <scheme val="minor"/>
      </rPr>
      <t>th</t>
    </r>
    <r>
      <rPr>
        <sz val="13"/>
        <rFont val="Calibri"/>
        <family val="2"/>
        <scheme val="minor"/>
      </rPr>
      <t xml:space="preserve"> percentile weight for the patient's current height and sex:</t>
    </r>
  </si>
  <si>
    <t>1.    Enter the patient's date of birth at cell C38.</t>
  </si>
  <si>
    <t>2.    Enter the date of the current weight &amp; height measurements at cell C39.</t>
  </si>
  <si>
    <r>
      <t xml:space="preserve">3.    Note the patient's </t>
    </r>
    <r>
      <rPr>
        <i/>
        <sz val="13"/>
        <color theme="1"/>
        <rFont val="Calibri"/>
        <family val="2"/>
        <scheme val="minor"/>
      </rPr>
      <t>age in months</t>
    </r>
    <r>
      <rPr>
        <sz val="13"/>
        <color theme="1"/>
        <rFont val="Calibri"/>
        <family val="2"/>
        <scheme val="minor"/>
      </rPr>
      <t xml:space="preserve"> calculated at cell C40.</t>
    </r>
  </si>
  <si>
    <t>4.    Enter the patient's current weight at cell B44.</t>
  </si>
  <si>
    <t>5.    Enter the patient's current height at cell B45.</t>
  </si>
  <si>
    <t xml:space="preserve">14. Paste the figure copied at step 13 into cell C53. </t>
  </si>
  <si>
    <r>
      <t xml:space="preserve">9.   Write a prescription for the chosen product (incl. size) and the quantity of cartridges required. To assist with writing the prescription, PBS item codes are listed in the table </t>
    </r>
    <r>
      <rPr>
        <i/>
        <sz val="13"/>
        <color theme="1"/>
        <rFont val="Calibri"/>
        <family val="2"/>
        <scheme val="minor"/>
      </rPr>
      <t>PBS Item Codes.</t>
    </r>
  </si>
  <si>
    <t>8.   Note the number of cartridges required for the treatment period*.</t>
  </si>
  <si>
    <r>
      <t xml:space="preserve">7.   Locate the chosen product in the table </t>
    </r>
    <r>
      <rPr>
        <i/>
        <sz val="13"/>
        <color theme="1"/>
        <rFont val="Calibri"/>
        <family val="2"/>
        <scheme val="minor"/>
      </rPr>
      <t>Calculation of quantity of cartridges required.</t>
    </r>
  </si>
  <si>
    <r>
      <t>3.   Enter the prescribed dose in mg/m</t>
    </r>
    <r>
      <rPr>
        <vertAlign val="superscript"/>
        <sz val="13"/>
        <color theme="1"/>
        <rFont val="Calibri"/>
        <family val="2"/>
        <scheme val="minor"/>
      </rPr>
      <t>2</t>
    </r>
    <r>
      <rPr>
        <sz val="13"/>
        <color theme="1"/>
        <rFont val="Calibri"/>
        <family val="2"/>
        <scheme val="minor"/>
      </rPr>
      <t>/wk at cell B41.</t>
    </r>
  </si>
  <si>
    <t>←Enter this dose into the authority application</t>
  </si>
  <si>
    <t>1.   Enter the patient's current height at cell B36.</t>
  </si>
  <si>
    <t>2.   Enter the patient's current weight at cell B37.</t>
  </si>
  <si>
    <r>
      <t xml:space="preserve">4.   Note the </t>
    </r>
    <r>
      <rPr>
        <i/>
        <sz val="13"/>
        <color theme="1"/>
        <rFont val="Calibri"/>
        <family val="2"/>
        <scheme val="minor"/>
      </rPr>
      <t>equivalent weekly dose in mg</t>
    </r>
    <r>
      <rPr>
        <sz val="13"/>
        <color theme="1"/>
        <rFont val="Calibri"/>
        <family val="2"/>
        <scheme val="minor"/>
      </rPr>
      <t xml:space="preserve"> at cell B43.</t>
    </r>
  </si>
  <si>
    <r>
      <t xml:space="preserve">5.   Review the dose chart for the chosen product. Enter the closest dose available to the dose determined at step 4 at cell B48 and the number of injections per week (6 or 7) at cell B47. Make sure the </t>
    </r>
    <r>
      <rPr>
        <i/>
        <sz val="13"/>
        <color theme="1"/>
        <rFont val="Calibri"/>
        <family val="2"/>
        <scheme val="minor"/>
      </rPr>
      <t>equivalent dose</t>
    </r>
  </si>
  <si>
    <r>
      <rPr>
        <i/>
        <sz val="13"/>
        <color theme="1"/>
        <rFont val="Calibri"/>
        <family val="2"/>
        <scheme val="minor"/>
      </rPr>
      <t>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calculated at cell B49 is not more than 3% greater than the maximum dose detailed for the category in the table </t>
    </r>
    <r>
      <rPr>
        <i/>
        <sz val="13"/>
        <color theme="1"/>
        <rFont val="Calibri"/>
        <family val="2"/>
        <scheme val="minor"/>
      </rPr>
      <t>Maximum dose per category</t>
    </r>
    <r>
      <rPr>
        <sz val="13"/>
        <color theme="1"/>
        <rFont val="Calibri"/>
        <family val="2"/>
        <scheme val="minor"/>
      </rPr>
      <t xml:space="preserve"> (see </t>
    </r>
    <r>
      <rPr>
        <i/>
        <sz val="13"/>
        <color theme="1"/>
        <rFont val="Calibri"/>
        <family val="2"/>
        <scheme val="minor"/>
      </rPr>
      <t>Prescribed dose must not exceed</t>
    </r>
    <r>
      <rPr>
        <sz val="13"/>
        <color theme="1"/>
        <rFont val="Calibri"/>
        <family val="2"/>
        <scheme val="minor"/>
      </rPr>
      <t>).</t>
    </r>
  </si>
  <si>
    <r>
      <t xml:space="preserve">6.   Enter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determined at step 5 (cell B49) into the authority application.</t>
    </r>
  </si>
  <si>
    <r>
      <t>10. Note the number of cartridges required for the treatment period</t>
    </r>
    <r>
      <rPr>
        <sz val="13"/>
        <color theme="1"/>
        <rFont val="Calibri"/>
        <family val="2"/>
      </rPr>
      <t>~</t>
    </r>
    <r>
      <rPr>
        <sz val="13"/>
        <color theme="1"/>
        <rFont val="Calibri"/>
        <family val="2"/>
        <scheme val="minor"/>
      </rPr>
      <t>.</t>
    </r>
  </si>
  <si>
    <r>
      <t xml:space="preserve">11. Write a prescription for the chosen product (incl. size) and the quantity of cartridges required. To assist with writing the prescription, PBS item codes are listed in the table </t>
    </r>
    <r>
      <rPr>
        <i/>
        <sz val="13"/>
        <color theme="1"/>
        <rFont val="Calibri"/>
        <family val="2"/>
        <scheme val="minor"/>
      </rPr>
      <t>PBS Item Codes.</t>
    </r>
  </si>
  <si>
    <r>
      <t xml:space="preserve">9.   Locate the chosen product in the table </t>
    </r>
    <r>
      <rPr>
        <i/>
        <sz val="13"/>
        <color theme="1"/>
        <rFont val="Calibri"/>
        <family val="2"/>
        <scheme val="minor"/>
      </rPr>
      <t>Calculation of quantity of cartridges required.</t>
    </r>
  </si>
  <si>
    <r>
      <t>2.   Determine whether the patient's BMI is greater than the 85</t>
    </r>
    <r>
      <rPr>
        <vertAlign val="superscript"/>
        <sz val="13"/>
        <color theme="1"/>
        <rFont val="Calibri"/>
        <family val="2"/>
        <scheme val="minor"/>
      </rPr>
      <t>th</t>
    </r>
    <r>
      <rPr>
        <sz val="13"/>
        <color theme="1"/>
        <rFont val="Calibri"/>
        <family val="2"/>
        <scheme val="minor"/>
      </rPr>
      <t xml:space="preserve"> percentile for age and sex.</t>
    </r>
  </si>
  <si>
    <t>1.   Enter the patient's current height at cell B32.</t>
  </si>
  <si>
    <r>
      <t>3.   If the patient's BMI is equal to or less than the 85</t>
    </r>
    <r>
      <rPr>
        <vertAlign val="superscript"/>
        <sz val="13"/>
        <color theme="1"/>
        <rFont val="Calibri"/>
        <family val="2"/>
        <scheme val="minor"/>
      </rPr>
      <t>th</t>
    </r>
    <r>
      <rPr>
        <sz val="13"/>
        <color theme="1"/>
        <rFont val="Calibri"/>
        <family val="2"/>
        <scheme val="minor"/>
      </rPr>
      <t xml:space="preserve"> percentile for age and sex, enter the patient's current weight at cell B33. </t>
    </r>
  </si>
  <si>
    <r>
      <t>5.   Enter the prescribed dose in mg/m</t>
    </r>
    <r>
      <rPr>
        <vertAlign val="superscript"/>
        <sz val="13"/>
        <color theme="1"/>
        <rFont val="Calibri"/>
        <family val="2"/>
        <scheme val="minor"/>
      </rPr>
      <t>2</t>
    </r>
    <r>
      <rPr>
        <sz val="13"/>
        <color theme="1"/>
        <rFont val="Calibri"/>
        <family val="2"/>
        <scheme val="minor"/>
      </rPr>
      <t>/wk at cell B40.</t>
    </r>
  </si>
  <si>
    <r>
      <t xml:space="preserve">6.   Note the </t>
    </r>
    <r>
      <rPr>
        <i/>
        <sz val="13"/>
        <color theme="1"/>
        <rFont val="Calibri"/>
        <family val="2"/>
        <scheme val="minor"/>
      </rPr>
      <t xml:space="preserve">equivalent weekly dose in mg </t>
    </r>
    <r>
      <rPr>
        <sz val="13"/>
        <color theme="1"/>
        <rFont val="Calibri"/>
        <family val="2"/>
        <scheme val="minor"/>
      </rPr>
      <t>at cell B41.</t>
    </r>
  </si>
  <si>
    <r>
      <t xml:space="preserve">7.   Review the dose chart for the chosen product. Enter the closest dose available to the dose determined at step 6 at cell B46 and the number of injections per week (6 or 7) at cell B45. Make sure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</si>
  <si>
    <r>
      <t xml:space="preserve">calculated at cell B47 is not more than 3% greater than the maximum dose detailed in the table </t>
    </r>
    <r>
      <rPr>
        <i/>
        <sz val="13"/>
        <color theme="1"/>
        <rFont val="Calibri"/>
        <family val="2"/>
        <scheme val="minor"/>
      </rPr>
      <t>Maximum dose per category</t>
    </r>
    <r>
      <rPr>
        <sz val="13"/>
        <color theme="1"/>
        <rFont val="Calibri"/>
        <family val="2"/>
        <scheme val="minor"/>
      </rPr>
      <t xml:space="preserve"> (see </t>
    </r>
    <r>
      <rPr>
        <i/>
        <sz val="13"/>
        <color theme="1"/>
        <rFont val="Calibri"/>
        <family val="2"/>
        <scheme val="minor"/>
      </rPr>
      <t>Prescribed dose must not exceed</t>
    </r>
    <r>
      <rPr>
        <sz val="13"/>
        <color theme="1"/>
        <rFont val="Calibri"/>
        <family val="2"/>
        <scheme val="minor"/>
      </rPr>
      <t>).</t>
    </r>
  </si>
  <si>
    <r>
      <t xml:space="preserve">8.   Enter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determined at step 7 (cell B47) into the authority application.</t>
    </r>
  </si>
  <si>
    <r>
      <t>1.   Determine whether the patient's BMI is greater than the 85</t>
    </r>
    <r>
      <rPr>
        <vertAlign val="superscript"/>
        <sz val="13"/>
        <color theme="1"/>
        <rFont val="Calibri"/>
        <family val="2"/>
        <scheme val="minor"/>
      </rPr>
      <t>th</t>
    </r>
    <r>
      <rPr>
        <sz val="13"/>
        <color theme="1"/>
        <rFont val="Calibri"/>
        <family val="2"/>
        <scheme val="minor"/>
      </rPr>
      <t xml:space="preserve"> percentile for age and sex.</t>
    </r>
  </si>
  <si>
    <r>
      <t>8.   Note the number of cartridges required for the treatment period</t>
    </r>
    <r>
      <rPr>
        <vertAlign val="superscript"/>
        <sz val="13"/>
        <color theme="1"/>
        <rFont val="Calibri"/>
        <family val="2"/>
        <scheme val="minor"/>
      </rPr>
      <t>»</t>
    </r>
  </si>
  <si>
    <r>
      <t>2.   If the patient's BMI is less than or equal to the 85</t>
    </r>
    <r>
      <rPr>
        <vertAlign val="superscript"/>
        <sz val="13"/>
        <color theme="1"/>
        <rFont val="Calibri"/>
        <family val="2"/>
        <scheme val="minor"/>
      </rPr>
      <t>th</t>
    </r>
    <r>
      <rPr>
        <sz val="13"/>
        <color theme="1"/>
        <rFont val="Calibri"/>
        <family val="2"/>
        <scheme val="minor"/>
      </rPr>
      <t xml:space="preserve"> percentile for age and sex, enter the patient's current weight at cell B31. </t>
    </r>
  </si>
  <si>
    <r>
      <t xml:space="preserve">4.   Note the </t>
    </r>
    <r>
      <rPr>
        <i/>
        <sz val="13"/>
        <color theme="1"/>
        <rFont val="Calibri"/>
        <family val="2"/>
        <scheme val="minor"/>
      </rPr>
      <t>equivalent weekly dose in mg</t>
    </r>
    <r>
      <rPr>
        <sz val="13"/>
        <color theme="1"/>
        <rFont val="Calibri"/>
        <family val="2"/>
        <scheme val="minor"/>
      </rPr>
      <t xml:space="preserve"> at cell B32.</t>
    </r>
  </si>
  <si>
    <r>
      <t xml:space="preserve">5.   Review the dose chart for the chosen product. Enter the closest dose available to the dose determined at step 4 at cell B38 and the number of injections per week (6 or 7) at cell B37. Make sure the </t>
    </r>
    <r>
      <rPr>
        <i/>
        <sz val="13"/>
        <color theme="1"/>
        <rFont val="Calibri"/>
        <family val="2"/>
        <scheme val="minor"/>
      </rPr>
      <t>equivalent dose in mg/kg/wk</t>
    </r>
  </si>
  <si>
    <r>
      <t xml:space="preserve">calculated at cell B39 is not more than 3% greater than the maximum dose detailed in the table </t>
    </r>
    <r>
      <rPr>
        <i/>
        <sz val="13"/>
        <color theme="1"/>
        <rFont val="Calibri"/>
        <family val="2"/>
        <scheme val="minor"/>
      </rPr>
      <t>Maximum dose per category</t>
    </r>
    <r>
      <rPr>
        <sz val="13"/>
        <color theme="1"/>
        <rFont val="Calibri"/>
        <family val="2"/>
        <scheme val="minor"/>
      </rPr>
      <t xml:space="preserve"> (see </t>
    </r>
    <r>
      <rPr>
        <i/>
        <sz val="13"/>
        <color theme="1"/>
        <rFont val="Calibri"/>
        <family val="2"/>
        <scheme val="minor"/>
      </rPr>
      <t>Prescribed dose must not exceed</t>
    </r>
    <r>
      <rPr>
        <sz val="13"/>
        <color theme="1"/>
        <rFont val="Calibri"/>
        <family val="2"/>
        <scheme val="minor"/>
      </rPr>
      <t>).</t>
    </r>
  </si>
  <si>
    <r>
      <t xml:space="preserve">6.   Enter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determined at step 5 (cell B39) into the authority application.</t>
    </r>
  </si>
  <si>
    <t>Dose and cartridge quantity calculator - all categories excluding Prader-Willi Syndrome</t>
  </si>
  <si>
    <t>Dose and cartridge quantity calculator - Prader-Willi Syndrome non-mature skeleton</t>
  </si>
  <si>
    <t>Dose and cartridge quantity calculator - Prader-Willi Syndrome mature skeleton</t>
  </si>
  <si>
    <t>Body mass index (BMI) and ideal body weight calculator - Prader-Willi Syndrome</t>
  </si>
  <si>
    <r>
      <t xml:space="preserve">6.    Note the patient's </t>
    </r>
    <r>
      <rPr>
        <i/>
        <sz val="13"/>
        <color theme="1"/>
        <rFont val="Calibri"/>
        <family val="2"/>
        <scheme val="minor"/>
      </rPr>
      <t>current BMI</t>
    </r>
    <r>
      <rPr>
        <sz val="13"/>
        <color theme="1"/>
        <rFont val="Calibri"/>
        <family val="2"/>
        <scheme val="minor"/>
      </rPr>
      <t xml:space="preserve"> calculated at cell B46.</t>
    </r>
  </si>
  <si>
    <t>• For male patients with a bone age of less than 15.5 years and female patients with a bone age of less than 13.5 years, at step 3 of the worksheet PWS non-mature skeleton only</t>
  </si>
  <si>
    <t>• For male patients with a bone age of 15.5 years or more and female patients with a bone age of 13.5 years or more, at step 2 of the worksheet PWS mature skeleton only</t>
  </si>
  <si>
    <r>
      <t xml:space="preserve">• For males with a height </t>
    </r>
    <r>
      <rPr>
        <u/>
        <sz val="13"/>
        <rFont val="Calibri"/>
        <family val="2"/>
        <scheme val="minor"/>
      </rPr>
      <t>above</t>
    </r>
    <r>
      <rPr>
        <sz val="13"/>
        <rFont val="Calibri"/>
        <family val="2"/>
        <scheme val="minor"/>
      </rPr>
      <t xml:space="preserve"> 176.8 cm and females with a height </t>
    </r>
    <r>
      <rPr>
        <u/>
        <sz val="13"/>
        <rFont val="Calibri"/>
        <family val="2"/>
        <scheme val="minor"/>
      </rPr>
      <t>above</t>
    </r>
    <r>
      <rPr>
        <sz val="13"/>
        <rFont val="Calibri"/>
        <family val="2"/>
        <scheme val="minor"/>
      </rPr>
      <t xml:space="preserve"> 163.3 cm, refer to steps 13-16.</t>
    </r>
  </si>
  <si>
    <r>
      <t xml:space="preserve">• For males with a height </t>
    </r>
    <r>
      <rPr>
        <u/>
        <sz val="13"/>
        <rFont val="Calibri"/>
        <family val="2"/>
        <scheme val="minor"/>
      </rPr>
      <t>at or below</t>
    </r>
    <r>
      <rPr>
        <sz val="13"/>
        <rFont val="Calibri"/>
        <family val="2"/>
        <scheme val="minor"/>
      </rPr>
      <t xml:space="preserve"> 176.8 cm and females with a height </t>
    </r>
    <r>
      <rPr>
        <u/>
        <sz val="13"/>
        <rFont val="Calibri"/>
        <family val="2"/>
        <scheme val="minor"/>
      </rPr>
      <t>at or below</t>
    </r>
    <r>
      <rPr>
        <sz val="13"/>
        <rFont val="Calibri"/>
        <family val="2"/>
        <scheme val="minor"/>
      </rPr>
      <t xml:space="preserve"> 163.3 cm, refer to steps 11-12.</t>
    </r>
  </si>
  <si>
    <r>
      <t xml:space="preserve">• For males, in the table </t>
    </r>
    <r>
      <rPr>
        <i/>
        <sz val="13"/>
        <rFont val="Calibri"/>
        <family val="2"/>
        <scheme val="minor"/>
      </rPr>
      <t>Ideal body weight (50</t>
    </r>
    <r>
      <rPr>
        <i/>
        <vertAlign val="superscript"/>
        <sz val="13"/>
        <rFont val="Calibri"/>
        <family val="2"/>
        <scheme val="minor"/>
      </rPr>
      <t>th</t>
    </r>
    <r>
      <rPr>
        <i/>
        <sz val="13"/>
        <rFont val="Calibri"/>
        <family val="2"/>
        <scheme val="minor"/>
      </rPr>
      <t xml:space="preserve"> percentile weight for height) - </t>
    </r>
    <r>
      <rPr>
        <i/>
        <u/>
        <sz val="13"/>
        <rFont val="Calibri"/>
        <family val="2"/>
        <scheme val="minor"/>
      </rPr>
      <t>males</t>
    </r>
    <r>
      <rPr>
        <sz val="13"/>
        <rFont val="Calibri"/>
        <family val="2"/>
        <scheme val="minor"/>
      </rPr>
      <t xml:space="preserve"> (blue table)</t>
    </r>
  </si>
  <si>
    <r>
      <t xml:space="preserve">• For females, in the table </t>
    </r>
    <r>
      <rPr>
        <i/>
        <sz val="13"/>
        <rFont val="Calibri"/>
        <family val="2"/>
        <scheme val="minor"/>
      </rPr>
      <t>Ideal body weight (50</t>
    </r>
    <r>
      <rPr>
        <i/>
        <vertAlign val="superscript"/>
        <sz val="13"/>
        <rFont val="Calibri"/>
        <family val="2"/>
        <scheme val="minor"/>
      </rPr>
      <t>th</t>
    </r>
    <r>
      <rPr>
        <i/>
        <sz val="13"/>
        <rFont val="Calibri"/>
        <family val="2"/>
        <scheme val="minor"/>
      </rPr>
      <t xml:space="preserve"> percentile weight for height) - </t>
    </r>
    <r>
      <rPr>
        <i/>
        <u/>
        <sz val="13"/>
        <rFont val="Calibri"/>
        <family val="2"/>
        <scheme val="minor"/>
      </rPr>
      <t>females</t>
    </r>
    <r>
      <rPr>
        <sz val="13"/>
        <rFont val="Calibri"/>
        <family val="2"/>
        <scheme val="minor"/>
      </rPr>
      <t xml:space="preserve"> (pink table)</t>
    </r>
  </si>
  <si>
    <r>
      <t>Ideal body weight (50</t>
    </r>
    <r>
      <rPr>
        <b/>
        <vertAlign val="superscript"/>
        <sz val="12"/>
        <color theme="1"/>
        <rFont val="Calibri"/>
        <family val="2"/>
        <scheme val="minor"/>
      </rPr>
      <t>th</t>
    </r>
    <r>
      <rPr>
        <b/>
        <sz val="12"/>
        <color theme="1"/>
        <rFont val="Calibri"/>
        <family val="2"/>
        <scheme val="minor"/>
      </rPr>
      <t xml:space="preserve"> percentile weight for height) - </t>
    </r>
    <r>
      <rPr>
        <b/>
        <u/>
        <sz val="12"/>
        <color theme="1"/>
        <rFont val="Calibri"/>
        <family val="2"/>
        <scheme val="minor"/>
      </rPr>
      <t>males</t>
    </r>
  </si>
  <si>
    <r>
      <t>Ideal body weight (50</t>
    </r>
    <r>
      <rPr>
        <b/>
        <vertAlign val="superscript"/>
        <sz val="12"/>
        <color theme="1"/>
        <rFont val="Calibri"/>
        <family val="2"/>
        <scheme val="minor"/>
      </rPr>
      <t>th</t>
    </r>
    <r>
      <rPr>
        <b/>
        <sz val="12"/>
        <color theme="1"/>
        <rFont val="Calibri"/>
        <family val="2"/>
        <scheme val="minor"/>
      </rPr>
      <t xml:space="preserve"> percentile weight for height) - </t>
    </r>
    <r>
      <rPr>
        <b/>
        <u/>
        <sz val="12"/>
        <color theme="1"/>
        <rFont val="Calibri"/>
        <family val="2"/>
        <scheme val="minor"/>
      </rPr>
      <t>females</t>
    </r>
  </si>
  <si>
    <t>• For male patients with a bone age of less than 15.5 years and female patients with a bone age of less than 13.5 years, at step 4 of the worksheet PWS non-mature skeleton only</t>
  </si>
  <si>
    <t>• For male patients with a bone age of 15.5 years or more and female patients with a bone age of 13.5 years or more, at step 3 of the worksheet PWS mature skeleton only</t>
  </si>
  <si>
    <r>
      <t xml:space="preserve">15. Note the patient's </t>
    </r>
    <r>
      <rPr>
        <i/>
        <sz val="13"/>
        <rFont val="Calibri"/>
        <family val="2"/>
        <scheme val="minor"/>
      </rPr>
      <t>ideal body weight (kg)</t>
    </r>
    <r>
      <rPr>
        <sz val="13"/>
        <rFont val="Calibri"/>
        <family val="2"/>
        <scheme val="minor"/>
      </rPr>
      <t xml:space="preserve"> calculated at cell C54.</t>
    </r>
  </si>
  <si>
    <t>16. Enter the ideal body weight calculated at step 14:</t>
  </si>
  <si>
    <r>
      <t>Calculation of ideal body weight IS required (current BMI is greater than the 85</t>
    </r>
    <r>
      <rPr>
        <b/>
        <i/>
        <vertAlign val="superscript"/>
        <sz val="12"/>
        <color theme="1"/>
        <rFont val="Calibri"/>
        <family val="2"/>
        <scheme val="minor"/>
      </rPr>
      <t>th</t>
    </r>
    <r>
      <rPr>
        <b/>
        <i/>
        <sz val="12"/>
        <color theme="1"/>
        <rFont val="Calibri"/>
        <family val="2"/>
        <scheme val="minor"/>
      </rPr>
      <t xml:space="preserve"> percentile BMI for age and sex).</t>
    </r>
  </si>
  <si>
    <r>
      <t>Calculation of ideal body weight is NOT required (current BMI is less than or equal to the 85</t>
    </r>
    <r>
      <rPr>
        <b/>
        <i/>
        <vertAlign val="superscript"/>
        <sz val="12"/>
        <color theme="1"/>
        <rFont val="Calibri"/>
        <family val="2"/>
        <scheme val="minor"/>
      </rPr>
      <t>th</t>
    </r>
    <r>
      <rPr>
        <b/>
        <i/>
        <sz val="12"/>
        <color theme="1"/>
        <rFont val="Calibri"/>
        <family val="2"/>
        <scheme val="minor"/>
      </rPr>
      <t xml:space="preserve"> percentile BMI for age and sex).</t>
    </r>
  </si>
  <si>
    <r>
      <t xml:space="preserve">Ideal body weight calculation - </t>
    </r>
    <r>
      <rPr>
        <b/>
        <u/>
        <sz val="12"/>
        <rFont val="Calibri"/>
        <family val="2"/>
        <scheme val="minor"/>
      </rPr>
      <t>males height &gt; 176.8 cm and females height &gt; 163.3 cm ONLY</t>
    </r>
  </si>
  <si>
    <t>See worksheet 'BMI and ideal body weight - PWS' to determine whether the patient has a BMI above the 85th percentile for age and sex.</t>
  </si>
  <si>
    <t>See worksheet 'BMI and ideal body weight - PWS' for calculation of ideal body weight.</t>
  </si>
  <si>
    <r>
      <t>4.   If the patient's BMI is greater than the 85</t>
    </r>
    <r>
      <rPr>
        <vertAlign val="superscript"/>
        <sz val="13"/>
        <color theme="1"/>
        <rFont val="Calibri"/>
        <family val="2"/>
        <scheme val="minor"/>
      </rPr>
      <t>th</t>
    </r>
    <r>
      <rPr>
        <sz val="13"/>
        <color theme="1"/>
        <rFont val="Calibri"/>
        <family val="2"/>
        <scheme val="minor"/>
      </rPr>
      <t xml:space="preserve"> percentile for age and sex, calculate the patient's ideal body weight and enter it at cell B33*.</t>
    </r>
  </si>
  <si>
    <t>eligible for based on ideal body weight.</t>
  </si>
  <si>
    <r>
      <rPr>
        <vertAlign val="superscript"/>
        <sz val="11"/>
        <color theme="1"/>
        <rFont val="Calibri"/>
        <family val="2"/>
      </rPr>
      <t>»</t>
    </r>
    <r>
      <rPr>
        <sz val="11"/>
        <color theme="1"/>
        <rFont val="Calibri"/>
        <family val="2"/>
        <scheme val="minor"/>
      </rPr>
      <t>Maximum dose for Prader-Willi syndrome patients who have a BMI at or below the 85th percentile for age and sex is based on current weight. Maximum dose for Prader-Willi syndrome patients who have a BMI greater than the 85th percentile for age and sex is based on ideal body weight.</t>
    </r>
  </si>
  <si>
    <t>Current weight or ideal body weight (kg)°</t>
  </si>
  <si>
    <r>
      <rPr>
        <sz val="11"/>
        <color theme="1"/>
        <rFont val="Times New Roman"/>
        <family val="1"/>
      </rPr>
      <t>°</t>
    </r>
    <r>
      <rPr>
        <sz val="11"/>
        <color theme="1"/>
        <rFont val="Calibri"/>
        <family val="2"/>
        <scheme val="minor"/>
      </rPr>
      <t>Dose must be based on ideal body weight for Prader-Willi syndrome patients who have a BMI greater than the 85</t>
    </r>
    <r>
      <rPr>
        <vertAlign val="superscript"/>
        <sz val="11"/>
        <color theme="1"/>
        <rFont val="Calibri"/>
        <family val="2"/>
        <scheme val="minor"/>
      </rPr>
      <t>th</t>
    </r>
    <r>
      <rPr>
        <sz val="11"/>
        <color theme="1"/>
        <rFont val="Calibri"/>
        <family val="2"/>
        <scheme val="minor"/>
      </rPr>
      <t xml:space="preserve"> percentile for age and sex. </t>
    </r>
    <r>
      <rPr>
        <b/>
        <i/>
        <sz val="11"/>
        <color theme="1"/>
        <rFont val="Calibri"/>
        <family val="2"/>
        <scheme val="minor"/>
      </rPr>
      <t/>
    </r>
  </si>
  <si>
    <t>See worksheet 'BMI and ideal body weight - PWS' for calculation of BMI, determination of whether or not the patient has a BMI above the 85th percentile for age and sex, and calculation of ideal body weight.</t>
  </si>
  <si>
    <r>
      <t>3.   If the patient's BMI is greater than the 85</t>
    </r>
    <r>
      <rPr>
        <vertAlign val="superscript"/>
        <sz val="13"/>
        <color theme="1"/>
        <rFont val="Calibri"/>
        <family val="2"/>
        <scheme val="minor"/>
      </rPr>
      <t>th</t>
    </r>
    <r>
      <rPr>
        <sz val="13"/>
        <color theme="1"/>
        <rFont val="Calibri"/>
        <family val="2"/>
        <scheme val="minor"/>
      </rPr>
      <t xml:space="preserve"> percentile for age and sex, enter the patient's ideal body weight at cell B31*.</t>
    </r>
  </si>
  <si>
    <r>
      <rPr>
        <vertAlign val="superscript"/>
        <sz val="11"/>
        <color theme="1"/>
        <rFont val="Calibri"/>
        <family val="2"/>
        <scheme val="minor"/>
      </rPr>
      <t>˅</t>
    </r>
    <r>
      <rPr>
        <sz val="11"/>
        <color theme="1"/>
        <rFont val="Calibri"/>
        <family val="2"/>
        <scheme val="minor"/>
      </rPr>
      <t>Maximum dose for Prader-Willi syndrome patients who have a BMI at or below the 85th percentile for age and sex is based on current weight. Maximum dose for Prader-Willi syndrome patients who have a BMI greater than the 85</t>
    </r>
    <r>
      <rPr>
        <vertAlign val="superscript"/>
        <sz val="11"/>
        <color theme="1"/>
        <rFont val="Calibri"/>
        <family val="2"/>
        <scheme val="minor"/>
      </rPr>
      <t>th</t>
    </r>
    <r>
      <rPr>
        <sz val="11"/>
        <color theme="1"/>
        <rFont val="Calibri"/>
        <family val="2"/>
        <scheme val="minor"/>
      </rPr>
      <t xml:space="preserve"> percentile for age and sex is based on ideal body weight.</t>
    </r>
  </si>
  <si>
    <r>
      <t>Current weight or ideal body weight (kg)</t>
    </r>
    <r>
      <rPr>
        <sz val="12"/>
        <color theme="1"/>
        <rFont val="Times New Roman"/>
        <family val="1"/>
      </rPr>
      <t>°</t>
    </r>
  </si>
  <si>
    <r>
      <rPr>
        <sz val="11"/>
        <color theme="1"/>
        <rFont val="Times New Roman"/>
        <family val="1"/>
      </rPr>
      <t>°</t>
    </r>
    <r>
      <rPr>
        <sz val="11"/>
        <color theme="1"/>
        <rFont val="Calibri"/>
        <family val="2"/>
        <scheme val="minor"/>
      </rPr>
      <t>Dose must be based on ideal body weight for Prader-Willi syndrome patients who have a BMI greater than the 85</t>
    </r>
    <r>
      <rPr>
        <vertAlign val="superscript"/>
        <sz val="11"/>
        <color theme="1"/>
        <rFont val="Calibri"/>
        <family val="2"/>
        <scheme val="minor"/>
      </rPr>
      <t>th</t>
    </r>
    <r>
      <rPr>
        <sz val="11"/>
        <color theme="1"/>
        <rFont val="Calibri"/>
        <family val="2"/>
        <scheme val="minor"/>
      </rPr>
      <t xml:space="preserve"> percentile for age and sex.</t>
    </r>
    <r>
      <rPr>
        <b/>
        <i/>
        <sz val="11"/>
        <color theme="1"/>
        <rFont val="Calibri"/>
        <family val="2"/>
        <scheme val="minor"/>
      </rPr>
      <t/>
    </r>
  </si>
  <si>
    <t>8.    Paste the figure copied at step 7 into cell C49. Cell D49 will now indicate whether ideal body weight needs to be calculated.</t>
  </si>
  <si>
    <r>
      <t xml:space="preserve">9.    If ideal body weight </t>
    </r>
    <r>
      <rPr>
        <u/>
        <sz val="13"/>
        <color theme="1"/>
        <rFont val="Calibri"/>
        <family val="2"/>
        <scheme val="minor"/>
      </rPr>
      <t>does not</t>
    </r>
    <r>
      <rPr>
        <sz val="13"/>
        <color theme="1"/>
        <rFont val="Calibri"/>
        <family val="2"/>
        <scheme val="minor"/>
      </rPr>
      <t xml:space="preserve"> need to be calculated, enter the patient's </t>
    </r>
    <r>
      <rPr>
        <u/>
        <sz val="13"/>
        <color theme="1"/>
        <rFont val="Calibri"/>
        <family val="2"/>
        <scheme val="minor"/>
      </rPr>
      <t>current weight</t>
    </r>
    <r>
      <rPr>
        <sz val="13"/>
        <color theme="1"/>
        <rFont val="Calibri"/>
        <family val="2"/>
        <scheme val="minor"/>
      </rPr>
      <t>:</t>
    </r>
  </si>
  <si>
    <r>
      <t xml:space="preserve">10. If ideal body weight </t>
    </r>
    <r>
      <rPr>
        <u/>
        <sz val="13"/>
        <rFont val="Calibri"/>
        <family val="2"/>
        <scheme val="minor"/>
      </rPr>
      <t>does</t>
    </r>
    <r>
      <rPr>
        <sz val="13"/>
        <rFont val="Calibri"/>
        <family val="2"/>
        <scheme val="minor"/>
      </rPr>
      <t xml:space="preserve"> need to be calculated:</t>
    </r>
  </si>
  <si>
    <t>10. Submit or include details of the prescription with the authority application to the Department of Human Services.</t>
  </si>
  <si>
    <t>12. Submit or include details of the prescription with the authority application to the Department of Human Services.</t>
  </si>
  <si>
    <r>
      <t xml:space="preserve">SciTropin A 10mg                                             </t>
    </r>
    <r>
      <rPr>
        <sz val="10"/>
        <color theme="1"/>
        <rFont val="Calibri"/>
        <family val="2"/>
        <scheme val="minor"/>
      </rPr>
      <t>(note: not subsidised for treatment of patients under 3 years)</t>
    </r>
  </si>
  <si>
    <t>SciTropin A 10mg</t>
  </si>
  <si>
    <t>SciGen (SciTropin A)</t>
  </si>
  <si>
    <r>
      <t xml:space="preserve">SciTropin A 5mg                                            </t>
    </r>
    <r>
      <rPr>
        <sz val="10"/>
        <color theme="1"/>
        <rFont val="Calibri"/>
        <family val="2"/>
        <scheme val="minor"/>
      </rPr>
      <t>(note: not subsidised for treatment of patients under 3 years)</t>
    </r>
  </si>
  <si>
    <t>SciTropin A 5mg</t>
  </si>
  <si>
    <t>6476W</t>
  </si>
  <si>
    <t>10427T</t>
  </si>
  <si>
    <t>10484T</t>
  </si>
  <si>
    <t>Pfizer Australia (Genotropin GoQuick, Genotropin MiniQuick)</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</si>
</sst>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d/mm/yyyy;@"/>
    <numFmt numFmtId="166" formatCode="0.000"/>
    <numFmt numFmtId="167" formatCode="0.000000000"/>
    <numFmt numFmtId="168" formatCode="0.0000"/>
    <numFmt numFmtId="169" formatCode="0.000000000000000"/>
  </numFmts>
  <fonts count="54" x14ac:knownFonts="1">
    <font>
      <sz val="11"/>
      <color theme="1"/>
      <name val="Calibri"/>
      <family val="2"/>
      <scheme val="minor"/>
    </font>
    <font>
      <b/>
      <sz val="12"/>
      <color theme="1"/>
      <name val="Calibri"/>
      <family val="2"/>
      <scheme val="minor"/>
    </font>
    <font>
      <sz val="12"/>
      <color theme="1"/>
      <name val="Calibri"/>
      <family val="2"/>
      <scheme val="minor"/>
    </font>
    <font>
      <vertAlign val="superscript"/>
      <sz val="12"/>
      <color theme="1"/>
      <name val="Calibri"/>
      <family val="2"/>
      <scheme val="minor"/>
    </font>
    <font>
      <b/>
      <sz val="14"/>
      <color theme="1"/>
      <name val="Calibri"/>
      <family val="2"/>
      <scheme val="minor"/>
    </font>
    <font>
      <b/>
      <i/>
      <sz val="14"/>
      <color theme="1"/>
      <name val="Calibri"/>
      <family val="2"/>
      <scheme val="minor"/>
    </font>
    <font>
      <b/>
      <u/>
      <sz val="12"/>
      <color theme="1"/>
      <name val="Calibri"/>
      <family val="2"/>
      <scheme val="minor"/>
    </font>
    <font>
      <vertAlign val="superscript"/>
      <sz val="11"/>
      <color theme="1"/>
      <name val="Calibri"/>
      <family val="2"/>
      <scheme val="minor"/>
    </font>
    <font>
      <sz val="12"/>
      <color theme="1"/>
      <name val="Times New Roman"/>
      <family val="1"/>
    </font>
    <font>
      <sz val="11"/>
      <color theme="1"/>
      <name val="Times New Roman"/>
      <family val="1"/>
    </font>
    <font>
      <b/>
      <i/>
      <sz val="12"/>
      <color theme="1"/>
      <name val="Calibri"/>
      <family val="2"/>
      <scheme val="minor"/>
    </font>
    <font>
      <b/>
      <vertAlign val="superscript"/>
      <sz val="12"/>
      <color theme="1"/>
      <name val="Times New Roman"/>
      <family val="1"/>
    </font>
    <font>
      <b/>
      <i/>
      <vertAlign val="superscript"/>
      <sz val="14"/>
      <color theme="1"/>
      <name val="Calibri"/>
      <family val="2"/>
      <scheme val="minor"/>
    </font>
    <font>
      <b/>
      <sz val="18"/>
      <color theme="1"/>
      <name val="Calibri"/>
      <family val="2"/>
      <scheme val="minor"/>
    </font>
    <font>
      <b/>
      <i/>
      <sz val="11"/>
      <color theme="1"/>
      <name val="Calibri"/>
      <family val="2"/>
      <scheme val="minor"/>
    </font>
    <font>
      <b/>
      <vertAlign val="superscript"/>
      <sz val="12"/>
      <color theme="1"/>
      <name val="Calibri"/>
      <family val="2"/>
      <scheme val="minor"/>
    </font>
    <font>
      <sz val="14"/>
      <color theme="1"/>
      <name val="Calibri"/>
      <family val="2"/>
      <scheme val="minor"/>
    </font>
    <font>
      <b/>
      <sz val="11"/>
      <color theme="1"/>
      <name val="Calibri"/>
      <family val="2"/>
      <scheme val="minor"/>
    </font>
    <font>
      <i/>
      <sz val="12"/>
      <color rgb="FFFF0000"/>
      <name val="Calibri"/>
      <family val="2"/>
      <scheme val="minor"/>
    </font>
    <font>
      <b/>
      <i/>
      <u/>
      <sz val="12"/>
      <color theme="1"/>
      <name val="Calibri"/>
      <family val="2"/>
      <scheme val="minor"/>
    </font>
    <font>
      <u/>
      <sz val="11"/>
      <color theme="10"/>
      <name val="Calibri"/>
      <family val="2"/>
      <scheme val="minor"/>
    </font>
    <font>
      <b/>
      <sz val="12"/>
      <color rgb="FF00B050"/>
      <name val="Calibri"/>
      <family val="2"/>
      <scheme val="minor"/>
    </font>
    <font>
      <b/>
      <sz val="16"/>
      <color theme="1"/>
      <name val="Calibri"/>
      <family val="2"/>
      <scheme val="minor"/>
    </font>
    <font>
      <i/>
      <sz val="11"/>
      <color theme="1"/>
      <name val="Calibri"/>
      <family val="2"/>
      <scheme val="minor"/>
    </font>
    <font>
      <sz val="11"/>
      <name val="Calibri"/>
      <family val="2"/>
      <scheme val="minor"/>
    </font>
    <font>
      <i/>
      <sz val="11"/>
      <name val="Calibri"/>
      <family val="2"/>
      <scheme val="minor"/>
    </font>
    <font>
      <b/>
      <i/>
      <vertAlign val="superscript"/>
      <sz val="12"/>
      <color theme="1"/>
      <name val="Calibri"/>
      <family val="2"/>
      <scheme val="minor"/>
    </font>
    <font>
      <sz val="10"/>
      <color theme="1"/>
      <name val="Calibri"/>
      <family val="2"/>
      <scheme val="minor"/>
    </font>
    <font>
      <u/>
      <sz val="10"/>
      <color theme="1"/>
      <name val="Calibri"/>
      <family val="2"/>
      <scheme val="minor"/>
    </font>
    <font>
      <sz val="12"/>
      <name val="Calibri"/>
      <family val="2"/>
      <scheme val="minor"/>
    </font>
    <font>
      <sz val="12"/>
      <color theme="1"/>
      <name val="Calibri"/>
      <family val="2"/>
    </font>
    <font>
      <vertAlign val="superscript"/>
      <sz val="12"/>
      <color theme="1"/>
      <name val="Calibri"/>
      <family val="2"/>
    </font>
    <font>
      <sz val="11"/>
      <color theme="1"/>
      <name val="Calibri"/>
      <family val="2"/>
    </font>
    <font>
      <vertAlign val="superscript"/>
      <sz val="11"/>
      <color theme="1"/>
      <name val="Calibri"/>
      <family val="2"/>
    </font>
    <font>
      <sz val="13"/>
      <color theme="1"/>
      <name val="Calibri"/>
      <family val="2"/>
      <scheme val="minor"/>
    </font>
    <font>
      <vertAlign val="superscript"/>
      <sz val="13"/>
      <color theme="1"/>
      <name val="Calibri"/>
      <family val="2"/>
      <scheme val="minor"/>
    </font>
    <font>
      <u/>
      <sz val="13"/>
      <color theme="10"/>
      <name val="Calibri"/>
      <family val="2"/>
      <scheme val="minor"/>
    </font>
    <font>
      <i/>
      <sz val="13"/>
      <color theme="1"/>
      <name val="Calibri"/>
      <family val="2"/>
      <scheme val="minor"/>
    </font>
    <font>
      <i/>
      <vertAlign val="superscript"/>
      <sz val="13"/>
      <color theme="1"/>
      <name val="Calibri"/>
      <family val="2"/>
      <scheme val="minor"/>
    </font>
    <font>
      <sz val="11"/>
      <name val="Times New Roman"/>
      <family val="1"/>
    </font>
    <font>
      <sz val="11"/>
      <name val="Calibri"/>
      <family val="2"/>
    </font>
    <font>
      <sz val="13"/>
      <color theme="1"/>
      <name val="Calibri"/>
      <family val="2"/>
    </font>
    <font>
      <u/>
      <sz val="13"/>
      <color theme="1"/>
      <name val="Calibri"/>
      <family val="2"/>
      <scheme val="minor"/>
    </font>
    <font>
      <u/>
      <sz val="11"/>
      <color theme="1"/>
      <name val="Calibri"/>
      <family val="2"/>
      <scheme val="minor"/>
    </font>
    <font>
      <sz val="13"/>
      <name val="Calibri"/>
      <family val="2"/>
      <scheme val="minor"/>
    </font>
    <font>
      <u/>
      <sz val="13"/>
      <name val="Calibri"/>
      <family val="2"/>
      <scheme val="minor"/>
    </font>
    <font>
      <sz val="13"/>
      <color rgb="FF008080"/>
      <name val="Calibri"/>
      <family val="2"/>
      <scheme val="minor"/>
    </font>
    <font>
      <i/>
      <sz val="13"/>
      <name val="Calibri"/>
      <family val="2"/>
      <scheme val="minor"/>
    </font>
    <font>
      <i/>
      <vertAlign val="superscript"/>
      <sz val="13"/>
      <name val="Calibri"/>
      <family val="2"/>
      <scheme val="minor"/>
    </font>
    <font>
      <vertAlign val="superscript"/>
      <sz val="13"/>
      <name val="Calibri"/>
      <family val="2"/>
      <scheme val="minor"/>
    </font>
    <font>
      <b/>
      <sz val="12"/>
      <name val="Calibri"/>
      <family val="2"/>
      <scheme val="minor"/>
    </font>
    <font>
      <b/>
      <u/>
      <sz val="12"/>
      <name val="Calibri"/>
      <family val="2"/>
      <scheme val="minor"/>
    </font>
    <font>
      <b/>
      <sz val="22"/>
      <color rgb="FF00B050"/>
      <name val="Calibri"/>
      <family val="2"/>
    </font>
    <font>
      <i/>
      <u/>
      <sz val="13"/>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7BC642"/>
        <bgColor indexed="64"/>
      </patternFill>
    </fill>
    <fill>
      <patternFill patternType="solid">
        <fgColor rgb="FFC1E4A6"/>
        <bgColor indexed="64"/>
      </patternFill>
    </fill>
    <fill>
      <patternFill patternType="solid">
        <fgColor theme="8"/>
        <bgColor indexed="64"/>
      </patternFill>
    </fill>
    <fill>
      <patternFill patternType="solid">
        <fgColor theme="8" tint="0.59999389629810485"/>
        <bgColor indexed="64"/>
      </patternFill>
    </fill>
    <fill>
      <patternFill patternType="solid">
        <fgColor rgb="FFFF66CC"/>
        <bgColor indexed="64"/>
      </patternFill>
    </fill>
    <fill>
      <patternFill patternType="solid">
        <fgColor rgb="FFFFB7E7"/>
        <bgColor indexed="64"/>
      </patternFill>
    </fill>
    <fill>
      <patternFill patternType="solid">
        <fgColor rgb="FFFFFFCC"/>
        <bgColor indexed="64"/>
      </patternFill>
    </fill>
    <fill>
      <patternFill patternType="solid">
        <fgColor rgb="FFFFFF66"/>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0" applyNumberFormat="0" applyFill="0" applyBorder="0" applyAlignment="0" applyProtection="0"/>
  </cellStyleXfs>
  <cellXfs count="250">
    <xf numFmtId="0" fontId="0" fillId="0" borderId="0" xfId="0"/>
    <xf numFmtId="0" fontId="2" fillId="0" borderId="1" xfId="0" applyFont="1" applyBorder="1"/>
    <xf numFmtId="0" fontId="2" fillId="0" borderId="0" xfId="0" applyFont="1"/>
    <xf numFmtId="0" fontId="0" fillId="0" borderId="0" xfId="0" applyFont="1"/>
    <xf numFmtId="0" fontId="2" fillId="0" borderId="1" xfId="0" applyFont="1" applyBorder="1" applyAlignment="1">
      <alignment horizontal="left" vertical="center"/>
    </xf>
    <xf numFmtId="0" fontId="1" fillId="0" borderId="1" xfId="0" applyFont="1" applyBorder="1" applyAlignment="1">
      <alignment horizontal="center" wrapText="1"/>
    </xf>
    <xf numFmtId="0" fontId="1" fillId="0" borderId="0" xfId="0" applyFont="1" applyAlignment="1">
      <alignment horizontal="center"/>
    </xf>
    <xf numFmtId="0" fontId="2" fillId="0" borderId="0" xfId="0" applyFont="1" applyAlignment="1">
      <alignment horizontal="left"/>
    </xf>
    <xf numFmtId="1" fontId="2" fillId="0" borderId="1" xfId="0" applyNumberFormat="1" applyFont="1" applyBorder="1" applyAlignment="1">
      <alignment horizontal="center"/>
    </xf>
    <xf numFmtId="0" fontId="4" fillId="0" borderId="0" xfId="0" applyFont="1" applyAlignment="1">
      <alignment horizontal="center"/>
    </xf>
    <xf numFmtId="0" fontId="1" fillId="0" borderId="0" xfId="0" applyFont="1" applyFill="1" applyBorder="1" applyAlignment="1">
      <alignment wrapText="1"/>
    </xf>
    <xf numFmtId="0" fontId="0" fillId="0" borderId="0" xfId="0" applyBorder="1"/>
    <xf numFmtId="0" fontId="2" fillId="0" borderId="1" xfId="0" applyFont="1" applyFill="1" applyBorder="1" applyAlignment="1">
      <alignment wrapText="1"/>
    </xf>
    <xf numFmtId="0" fontId="2" fillId="0" borderId="0" xfId="0" applyFont="1" applyFill="1" applyBorder="1" applyAlignment="1"/>
    <xf numFmtId="0" fontId="2" fillId="0" borderId="1" xfId="0" applyFont="1" applyBorder="1" applyAlignment="1">
      <alignment wrapText="1"/>
    </xf>
    <xf numFmtId="0" fontId="2" fillId="0" borderId="0" xfId="0" applyFont="1" applyBorder="1"/>
    <xf numFmtId="0" fontId="0" fillId="0" borderId="0" xfId="0" applyFont="1" applyBorder="1"/>
    <xf numFmtId="0" fontId="1" fillId="0" borderId="0" xfId="0" applyFont="1" applyAlignment="1"/>
    <xf numFmtId="0" fontId="4" fillId="0" borderId="0" xfId="0" applyFont="1" applyBorder="1" applyAlignment="1">
      <alignment horizontal="center"/>
    </xf>
    <xf numFmtId="0" fontId="1" fillId="0" borderId="0" xfId="0" applyFont="1" applyBorder="1" applyAlignment="1"/>
    <xf numFmtId="0" fontId="5" fillId="0" borderId="0" xfId="0" applyFont="1" applyBorder="1"/>
    <xf numFmtId="0" fontId="1" fillId="0" borderId="0" xfId="0" applyFont="1" applyBorder="1" applyAlignment="1">
      <alignment wrapText="1"/>
    </xf>
    <xf numFmtId="0" fontId="2" fillId="0" borderId="0" xfId="0" applyFont="1" applyBorder="1" applyAlignment="1"/>
    <xf numFmtId="0" fontId="5" fillId="0" borderId="0" xfId="0" applyFont="1" applyBorder="1" applyAlignment="1"/>
    <xf numFmtId="0" fontId="5" fillId="0" borderId="0" xfId="0" applyFont="1" applyFill="1" applyBorder="1"/>
    <xf numFmtId="0" fontId="0" fillId="0" borderId="0" xfId="0" applyBorder="1" applyAlignment="1"/>
    <xf numFmtId="0" fontId="0" fillId="0" borderId="0" xfId="0" applyFill="1" applyBorder="1"/>
    <xf numFmtId="0" fontId="2" fillId="0" borderId="0" xfId="0" applyFont="1" applyFill="1" applyBorder="1"/>
    <xf numFmtId="0" fontId="5" fillId="0" borderId="0" xfId="0" applyFont="1" applyFill="1" applyBorder="1" applyAlignment="1"/>
    <xf numFmtId="0" fontId="0" fillId="0" borderId="0" xfId="0" applyFill="1" applyBorder="1" applyAlignment="1"/>
    <xf numFmtId="0" fontId="2" fillId="0" borderId="1" xfId="0" applyFont="1" applyBorder="1" applyAlignment="1"/>
    <xf numFmtId="0" fontId="2" fillId="0" borderId="2" xfId="0" applyFont="1" applyBorder="1" applyAlignment="1">
      <alignment wrapText="1"/>
    </xf>
    <xf numFmtId="0" fontId="10" fillId="0" borderId="1" xfId="0" applyFont="1" applyBorder="1" applyAlignment="1"/>
    <xf numFmtId="0" fontId="10" fillId="0" borderId="1" xfId="0" applyFont="1" applyBorder="1"/>
    <xf numFmtId="0" fontId="1" fillId="0" borderId="6" xfId="0" applyFont="1" applyBorder="1" applyAlignment="1">
      <alignment vertical="top"/>
    </xf>
    <xf numFmtId="0" fontId="1" fillId="0" borderId="6" xfId="0" applyFont="1" applyBorder="1" applyAlignment="1">
      <alignment horizontal="center" vertical="top" wrapText="1"/>
    </xf>
    <xf numFmtId="0" fontId="2" fillId="3" borderId="1" xfId="0" applyFont="1" applyFill="1" applyBorder="1"/>
    <xf numFmtId="1" fontId="2" fillId="3" borderId="1" xfId="0" applyNumberFormat="1" applyFont="1" applyFill="1" applyBorder="1" applyAlignment="1">
      <alignment horizontal="center"/>
    </xf>
    <xf numFmtId="0" fontId="1" fillId="0" borderId="6" xfId="0" applyFont="1" applyBorder="1" applyAlignment="1">
      <alignment horizontal="center" wrapText="1"/>
    </xf>
    <xf numFmtId="2" fontId="10" fillId="0" borderId="1" xfId="0" applyNumberFormat="1"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2" fontId="1" fillId="0" borderId="0" xfId="0" applyNumberFormat="1" applyFont="1" applyFill="1" applyBorder="1" applyAlignment="1"/>
    <xf numFmtId="0" fontId="0" fillId="0" borderId="0" xfId="0" applyAlignment="1">
      <alignment horizontal="right"/>
    </xf>
    <xf numFmtId="0" fontId="2" fillId="3" borderId="1" xfId="0" applyFont="1" applyFill="1" applyBorder="1" applyAlignment="1">
      <alignment horizontal="center"/>
    </xf>
    <xf numFmtId="0" fontId="0" fillId="0" borderId="0" xfId="0" applyAlignment="1">
      <alignment vertical="top" wrapText="1"/>
    </xf>
    <xf numFmtId="0" fontId="2" fillId="0" borderId="0" xfId="0" applyFont="1" applyAlignment="1">
      <alignment vertical="top"/>
    </xf>
    <xf numFmtId="0" fontId="0" fillId="0" borderId="0" xfId="0" applyAlignment="1">
      <alignment vertical="top"/>
    </xf>
    <xf numFmtId="0" fontId="2" fillId="0" borderId="0" xfId="0" applyFont="1" applyFill="1" applyBorder="1" applyAlignment="1">
      <alignment vertical="top"/>
    </xf>
    <xf numFmtId="0" fontId="0" fillId="0" borderId="0" xfId="0" applyFill="1" applyBorder="1" applyAlignment="1">
      <alignment vertical="top"/>
    </xf>
    <xf numFmtId="0" fontId="2" fillId="0" borderId="6" xfId="0" applyFont="1" applyBorder="1" applyAlignment="1">
      <alignment horizontal="center"/>
    </xf>
    <xf numFmtId="0" fontId="2" fillId="0" borderId="1" xfId="0" applyFont="1" applyBorder="1" applyAlignment="1">
      <alignment horizontal="center"/>
    </xf>
    <xf numFmtId="0" fontId="1" fillId="0" borderId="1" xfId="0" applyFont="1" applyFill="1" applyBorder="1" applyAlignment="1">
      <alignment horizontal="center"/>
    </xf>
    <xf numFmtId="0" fontId="2" fillId="0" borderId="1" xfId="0" applyFont="1" applyFill="1" applyBorder="1" applyAlignment="1">
      <alignment horizontal="center"/>
    </xf>
    <xf numFmtId="0" fontId="0" fillId="0" borderId="0" xfId="0" applyFont="1" applyFill="1" applyBorder="1" applyAlignment="1"/>
    <xf numFmtId="0" fontId="13" fillId="0" borderId="0" xfId="0" applyFont="1" applyAlignment="1"/>
    <xf numFmtId="0" fontId="1" fillId="0" borderId="3" xfId="0" applyFont="1" applyBorder="1" applyAlignment="1"/>
    <xf numFmtId="0" fontId="1" fillId="0" borderId="4" xfId="0" applyFont="1" applyBorder="1" applyAlignment="1"/>
    <xf numFmtId="0" fontId="1" fillId="0" borderId="5" xfId="0" applyFont="1" applyBorder="1" applyAlignment="1"/>
    <xf numFmtId="0" fontId="0" fillId="0" borderId="0" xfId="0" applyFont="1" applyAlignment="1"/>
    <xf numFmtId="0" fontId="0" fillId="0" borderId="0" xfId="0" applyFont="1" applyBorder="1" applyAlignment="1">
      <alignment wrapText="1"/>
    </xf>
    <xf numFmtId="0" fontId="0" fillId="0" borderId="0" xfId="0" applyFont="1" applyBorder="1" applyAlignment="1"/>
    <xf numFmtId="0" fontId="2" fillId="0" borderId="3" xfId="0" applyFont="1" applyFill="1" applyBorder="1" applyAlignment="1"/>
    <xf numFmtId="0" fontId="2" fillId="0" borderId="4" xfId="0" applyFont="1" applyFill="1" applyBorder="1" applyAlignment="1"/>
    <xf numFmtId="0" fontId="2" fillId="0" borderId="5" xfId="0" applyFont="1" applyFill="1" applyBorder="1" applyAlignment="1"/>
    <xf numFmtId="0" fontId="2" fillId="3" borderId="3" xfId="0" applyFont="1" applyFill="1" applyBorder="1" applyAlignment="1"/>
    <xf numFmtId="0" fontId="2" fillId="3" borderId="4" xfId="0" applyFont="1" applyFill="1" applyBorder="1" applyAlignment="1"/>
    <xf numFmtId="0" fontId="2" fillId="3" borderId="5" xfId="0" applyFont="1" applyFill="1"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xf numFmtId="0" fontId="1" fillId="0" borderId="3" xfId="0" applyFont="1" applyFill="1" applyBorder="1" applyAlignment="1"/>
    <xf numFmtId="0" fontId="1" fillId="0" borderId="4" xfId="0" applyFont="1" applyFill="1" applyBorder="1" applyAlignment="1"/>
    <xf numFmtId="0" fontId="1" fillId="0" borderId="5" xfId="0" applyFont="1" applyFill="1" applyBorder="1" applyAlignment="1"/>
    <xf numFmtId="0" fontId="10" fillId="0" borderId="3" xfId="0" applyFont="1" applyBorder="1" applyAlignment="1"/>
    <xf numFmtId="0" fontId="10" fillId="0" borderId="4" xfId="0" applyFont="1" applyBorder="1" applyAlignment="1"/>
    <xf numFmtId="0" fontId="6" fillId="0" borderId="7" xfId="0" applyFont="1" applyBorder="1" applyAlignment="1">
      <alignment horizontal="left"/>
    </xf>
    <xf numFmtId="0" fontId="1" fillId="0" borderId="8" xfId="0" applyFont="1" applyBorder="1" applyAlignment="1">
      <alignment horizontal="center"/>
    </xf>
    <xf numFmtId="0" fontId="2" fillId="0" borderId="0" xfId="0" applyFont="1" applyBorder="1" applyAlignment="1">
      <alignment vertical="top"/>
    </xf>
    <xf numFmtId="0" fontId="2" fillId="0" borderId="11" xfId="0" applyFont="1" applyBorder="1" applyAlignment="1">
      <alignment vertical="top"/>
    </xf>
    <xf numFmtId="0" fontId="0" fillId="0" borderId="13" xfId="0" applyFont="1" applyBorder="1" applyAlignment="1">
      <alignment vertical="top"/>
    </xf>
    <xf numFmtId="0" fontId="5" fillId="0" borderId="1" xfId="0" applyFont="1" applyFill="1" applyBorder="1" applyAlignment="1">
      <alignment horizontal="left" wrapText="1"/>
    </xf>
    <xf numFmtId="0" fontId="0" fillId="0" borderId="0" xfId="0" applyAlignment="1">
      <alignment horizontal="center"/>
    </xf>
    <xf numFmtId="0" fontId="2" fillId="0" borderId="0" xfId="0" applyFont="1" applyBorder="1" applyAlignment="1">
      <alignment horizontal="center"/>
    </xf>
    <xf numFmtId="0" fontId="16" fillId="0" borderId="0" xfId="0" applyFont="1"/>
    <xf numFmtId="0" fontId="1" fillId="0" borderId="0" xfId="0" applyFont="1" applyAlignment="1">
      <alignment horizontal="left"/>
    </xf>
    <xf numFmtId="0" fontId="17" fillId="0" borderId="0" xfId="0" applyFont="1" applyAlignment="1">
      <alignment horizontal="left"/>
    </xf>
    <xf numFmtId="0" fontId="18" fillId="0" borderId="0" xfId="0" applyFont="1"/>
    <xf numFmtId="0" fontId="2" fillId="0" borderId="8" xfId="0" applyFont="1" applyBorder="1"/>
    <xf numFmtId="0" fontId="2"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2" fillId="0" borderId="13" xfId="0" applyFont="1" applyBorder="1" applyAlignment="1">
      <alignment vertical="top"/>
    </xf>
    <xf numFmtId="0" fontId="1" fillId="0" borderId="6" xfId="0" applyFont="1" applyBorder="1"/>
    <xf numFmtId="0" fontId="17" fillId="0" borderId="0" xfId="0" applyFont="1"/>
    <xf numFmtId="0" fontId="10" fillId="0" borderId="0" xfId="0" applyFont="1"/>
    <xf numFmtId="0" fontId="10" fillId="0" borderId="0" xfId="0" applyFont="1" applyAlignment="1">
      <alignment horizontal="left"/>
    </xf>
    <xf numFmtId="0" fontId="19" fillId="0" borderId="0" xfId="0" applyFont="1"/>
    <xf numFmtId="0" fontId="1" fillId="0" borderId="0" xfId="0" applyFont="1" applyBorder="1"/>
    <xf numFmtId="0" fontId="20" fillId="0" borderId="0" xfId="1" quotePrefix="1" applyBorder="1"/>
    <xf numFmtId="0" fontId="20" fillId="0" borderId="0" xfId="1" applyBorder="1"/>
    <xf numFmtId="0" fontId="21" fillId="0" borderId="0" xfId="0" applyFont="1" applyBorder="1"/>
    <xf numFmtId="0" fontId="20" fillId="0" borderId="0" xfId="1"/>
    <xf numFmtId="0" fontId="20" fillId="0" borderId="1" xfId="1" applyBorder="1" applyAlignment="1">
      <alignment horizontal="center"/>
    </xf>
    <xf numFmtId="0" fontId="20" fillId="3" borderId="1" xfId="1" applyFill="1" applyBorder="1" applyAlignment="1">
      <alignment horizontal="center"/>
    </xf>
    <xf numFmtId="0" fontId="1" fillId="0" borderId="1" xfId="0" applyFont="1" applyBorder="1" applyAlignment="1">
      <alignment wrapText="1"/>
    </xf>
    <xf numFmtId="0" fontId="20" fillId="0" borderId="0" xfId="1" applyBorder="1" applyAlignment="1">
      <alignment horizontal="left" indent="1"/>
    </xf>
    <xf numFmtId="0" fontId="1" fillId="0" borderId="0" xfId="0" applyFont="1" applyBorder="1" applyAlignment="1">
      <alignment horizontal="center"/>
    </xf>
    <xf numFmtId="0" fontId="0" fillId="0" borderId="0" xfId="0" applyFont="1" applyBorder="1" applyAlignment="1">
      <alignment vertical="top"/>
    </xf>
    <xf numFmtId="0" fontId="1" fillId="0" borderId="9" xfId="0" applyFont="1" applyBorder="1" applyAlignment="1">
      <alignment horizontal="center"/>
    </xf>
    <xf numFmtId="0" fontId="0" fillId="0" borderId="14" xfId="0" applyFont="1" applyBorder="1" applyAlignment="1">
      <alignment vertical="top"/>
    </xf>
    <xf numFmtId="0" fontId="4" fillId="0" borderId="0" xfId="0" applyFont="1"/>
    <xf numFmtId="0" fontId="22" fillId="0" borderId="0" xfId="0" applyFont="1"/>
    <xf numFmtId="0" fontId="0" fillId="0" borderId="12" xfId="0" applyFont="1" applyBorder="1" applyAlignment="1"/>
    <xf numFmtId="0" fontId="24" fillId="0" borderId="0" xfId="0" applyFont="1"/>
    <xf numFmtId="0" fontId="1" fillId="0" borderId="0" xfId="0" applyFont="1"/>
    <xf numFmtId="0" fontId="2" fillId="3" borderId="3" xfId="0" applyFont="1" applyFill="1" applyBorder="1"/>
    <xf numFmtId="0" fontId="1" fillId="0" borderId="6" xfId="0" applyFont="1" applyBorder="1" applyAlignment="1">
      <alignment horizontal="center"/>
    </xf>
    <xf numFmtId="0" fontId="0" fillId="0" borderId="4" xfId="0" applyBorder="1"/>
    <xf numFmtId="0" fontId="0" fillId="0" borderId="5" xfId="0" applyBorder="1"/>
    <xf numFmtId="2" fontId="1" fillId="0" borderId="0" xfId="0" applyNumberFormat="1"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center" wrapText="1"/>
    </xf>
    <xf numFmtId="166" fontId="2"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0" fontId="10" fillId="0" borderId="0" xfId="0" applyFont="1" applyBorder="1" applyAlignment="1"/>
    <xf numFmtId="2" fontId="10" fillId="0" borderId="0" xfId="0" applyNumberFormat="1" applyFont="1" applyBorder="1" applyAlignment="1">
      <alignment horizontal="center"/>
    </xf>
    <xf numFmtId="0" fontId="2" fillId="0" borderId="0" xfId="0" applyFont="1" applyFill="1" applyBorder="1" applyAlignment="1">
      <alignment horizontal="center"/>
    </xf>
    <xf numFmtId="167" fontId="2" fillId="2" borderId="1" xfId="0" applyNumberFormat="1" applyFont="1" applyFill="1" applyBorder="1" applyAlignment="1" applyProtection="1">
      <alignment horizontal="center"/>
      <protection locked="0"/>
    </xf>
    <xf numFmtId="167" fontId="10" fillId="0" borderId="0" xfId="0" applyNumberFormat="1" applyFont="1" applyBorder="1" applyAlignment="1"/>
    <xf numFmtId="166" fontId="10" fillId="0" borderId="0" xfId="0" applyNumberFormat="1" applyFont="1" applyFill="1" applyBorder="1" applyAlignment="1">
      <alignment horizontal="left"/>
    </xf>
    <xf numFmtId="165" fontId="2" fillId="2" borderId="1" xfId="0" applyNumberFormat="1" applyFont="1" applyFill="1" applyBorder="1" applyAlignment="1" applyProtection="1">
      <alignment horizontal="center"/>
      <protection locked="0"/>
    </xf>
    <xf numFmtId="0" fontId="2" fillId="0" borderId="5" xfId="0" applyFont="1" applyBorder="1"/>
    <xf numFmtId="164" fontId="2" fillId="2" borderId="1" xfId="0" applyNumberFormat="1" applyFont="1" applyFill="1" applyBorder="1" applyAlignment="1" applyProtection="1">
      <alignment horizontal="center"/>
      <protection locked="0"/>
    </xf>
    <xf numFmtId="164" fontId="2" fillId="2" borderId="2" xfId="0" applyNumberFormat="1" applyFont="1" applyFill="1" applyBorder="1" applyAlignment="1" applyProtection="1">
      <alignment horizontal="center"/>
      <protection locked="0"/>
    </xf>
    <xf numFmtId="167" fontId="10" fillId="0" borderId="1" xfId="0" applyNumberFormat="1" applyFont="1" applyBorder="1" applyAlignment="1">
      <alignment horizontal="center"/>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2" fontId="5" fillId="2" borderId="1" xfId="0" applyNumberFormat="1" applyFont="1" applyFill="1" applyBorder="1" applyAlignment="1" applyProtection="1">
      <alignment horizontal="center"/>
      <protection locked="0"/>
    </xf>
    <xf numFmtId="0" fontId="1" fillId="0" borderId="1" xfId="0" applyFont="1" applyBorder="1" applyAlignment="1">
      <alignment vertical="top"/>
    </xf>
    <xf numFmtId="0" fontId="1" fillId="0" borderId="1" xfId="0" applyFont="1" applyBorder="1" applyAlignment="1">
      <alignment horizontal="center" vertical="top" wrapText="1"/>
    </xf>
    <xf numFmtId="0" fontId="1" fillId="0" borderId="1" xfId="0" applyFont="1" applyBorder="1"/>
    <xf numFmtId="169" fontId="2" fillId="0" borderId="1" xfId="0" applyNumberFormat="1" applyFont="1" applyBorder="1" applyAlignment="1">
      <alignment horizontal="center"/>
    </xf>
    <xf numFmtId="0" fontId="2" fillId="3" borderId="1" xfId="0" applyFont="1" applyFill="1" applyBorder="1" applyAlignment="1">
      <alignment wrapText="1"/>
    </xf>
    <xf numFmtId="1" fontId="2" fillId="3" borderId="1" xfId="0" applyNumberFormat="1" applyFont="1" applyFill="1" applyBorder="1" applyAlignment="1">
      <alignment horizontal="center" vertical="center"/>
    </xf>
    <xf numFmtId="0" fontId="18" fillId="0" borderId="0" xfId="0" applyFont="1" applyAlignment="1">
      <alignment vertical="center"/>
    </xf>
    <xf numFmtId="0" fontId="2" fillId="0" borderId="1" xfId="0" applyFont="1" applyBorder="1" applyAlignment="1">
      <alignment vertical="top"/>
    </xf>
    <xf numFmtId="0" fontId="2" fillId="0" borderId="1" xfId="0" applyFont="1" applyFill="1" applyBorder="1"/>
    <xf numFmtId="1" fontId="2" fillId="0" borderId="1" xfId="0" applyNumberFormat="1" applyFont="1" applyFill="1" applyBorder="1" applyAlignment="1">
      <alignment horizontal="center"/>
    </xf>
    <xf numFmtId="0" fontId="2" fillId="0" borderId="7" xfId="0" applyFont="1" applyFill="1" applyBorder="1" applyAlignment="1">
      <alignment wrapText="1"/>
    </xf>
    <xf numFmtId="1" fontId="2" fillId="0" borderId="15"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29" fillId="0" borderId="1" xfId="0" applyFont="1" applyFill="1" applyBorder="1"/>
    <xf numFmtId="0" fontId="2" fillId="0" borderId="3" xfId="0" applyFont="1" applyFill="1" applyBorder="1"/>
    <xf numFmtId="2" fontId="2" fillId="0" borderId="0" xfId="0" applyNumberFormat="1" applyFont="1" applyFill="1" applyBorder="1" applyAlignment="1">
      <alignment horizontal="center"/>
    </xf>
    <xf numFmtId="167" fontId="2" fillId="0" borderId="0" xfId="0" applyNumberFormat="1" applyFont="1" applyFill="1" applyBorder="1" applyAlignment="1">
      <alignment horizontal="center"/>
    </xf>
    <xf numFmtId="0" fontId="1" fillId="4" borderId="3" xfId="0" applyFont="1" applyFill="1" applyBorder="1" applyAlignment="1"/>
    <xf numFmtId="0" fontId="1" fillId="4" borderId="4" xfId="0" applyFont="1" applyFill="1" applyBorder="1" applyAlignment="1"/>
    <xf numFmtId="0" fontId="1" fillId="4" borderId="5" xfId="0" applyFont="1" applyFill="1" applyBorder="1" applyAlignment="1"/>
    <xf numFmtId="0" fontId="1" fillId="4" borderId="1" xfId="0" applyFont="1" applyFill="1" applyBorder="1" applyAlignment="1">
      <alignment horizontal="center"/>
    </xf>
    <xf numFmtId="0" fontId="1" fillId="4" borderId="6" xfId="0" applyFont="1" applyFill="1" applyBorder="1" applyAlignment="1">
      <alignment horizontal="center" wrapText="1"/>
    </xf>
    <xf numFmtId="49" fontId="2" fillId="4" borderId="1" xfId="0" applyNumberFormat="1" applyFont="1" applyFill="1" applyBorder="1" applyAlignment="1">
      <alignment horizontal="center"/>
    </xf>
    <xf numFmtId="2" fontId="2" fillId="4" borderId="1" xfId="0" applyNumberFormat="1" applyFont="1" applyFill="1" applyBorder="1" applyAlignment="1">
      <alignment horizontal="center"/>
    </xf>
    <xf numFmtId="167" fontId="2" fillId="4" borderId="3" xfId="0" applyNumberFormat="1" applyFont="1" applyFill="1" applyBorder="1" applyAlignment="1">
      <alignment horizontal="center"/>
    </xf>
    <xf numFmtId="167" fontId="2" fillId="4" borderId="1" xfId="0" applyNumberFormat="1" applyFont="1" applyFill="1" applyBorder="1" applyAlignment="1">
      <alignment horizontal="center"/>
    </xf>
    <xf numFmtId="49" fontId="2" fillId="5" borderId="1" xfId="0" applyNumberFormat="1" applyFont="1" applyFill="1" applyBorder="1" applyAlignment="1">
      <alignment horizontal="center"/>
    </xf>
    <xf numFmtId="2" fontId="2" fillId="5" borderId="1" xfId="0" applyNumberFormat="1" applyFont="1" applyFill="1" applyBorder="1" applyAlignment="1">
      <alignment horizontal="center"/>
    </xf>
    <xf numFmtId="167" fontId="2" fillId="5" borderId="3" xfId="0" applyNumberFormat="1" applyFont="1" applyFill="1" applyBorder="1" applyAlignment="1">
      <alignment horizontal="center"/>
    </xf>
    <xf numFmtId="167" fontId="2" fillId="5" borderId="1" xfId="0" applyNumberFormat="1" applyFont="1" applyFill="1" applyBorder="1" applyAlignment="1">
      <alignment horizontal="center"/>
    </xf>
    <xf numFmtId="2" fontId="1" fillId="6" borderId="3" xfId="0" applyNumberFormat="1" applyFont="1" applyFill="1" applyBorder="1" applyAlignment="1">
      <alignment horizontal="left"/>
    </xf>
    <xf numFmtId="2" fontId="1" fillId="6" borderId="5" xfId="0" applyNumberFormat="1" applyFont="1" applyFill="1" applyBorder="1" applyAlignment="1">
      <alignment horizontal="left"/>
    </xf>
    <xf numFmtId="0" fontId="1" fillId="6" borderId="1" xfId="0" applyFont="1" applyFill="1" applyBorder="1" applyAlignment="1">
      <alignment horizontal="center"/>
    </xf>
    <xf numFmtId="0" fontId="1" fillId="6" borderId="1" xfId="0" applyFont="1" applyFill="1" applyBorder="1" applyAlignment="1">
      <alignment horizontal="center" wrapText="1"/>
    </xf>
    <xf numFmtId="164" fontId="2" fillId="6" borderId="1" xfId="0" applyNumberFormat="1" applyFont="1" applyFill="1" applyBorder="1" applyAlignment="1">
      <alignment horizontal="center"/>
    </xf>
    <xf numFmtId="164" fontId="2" fillId="7" borderId="1" xfId="0" applyNumberFormat="1" applyFont="1" applyFill="1" applyBorder="1" applyAlignment="1">
      <alignment horizontal="center"/>
    </xf>
    <xf numFmtId="2" fontId="1" fillId="8" borderId="3" xfId="0" applyNumberFormat="1" applyFont="1" applyFill="1" applyBorder="1" applyAlignment="1"/>
    <xf numFmtId="2" fontId="1" fillId="8" borderId="5" xfId="0" applyNumberFormat="1" applyFont="1" applyFill="1" applyBorder="1" applyAlignment="1"/>
    <xf numFmtId="0" fontId="1" fillId="8" borderId="1" xfId="0" applyFont="1" applyFill="1" applyBorder="1" applyAlignment="1">
      <alignment horizontal="center"/>
    </xf>
    <xf numFmtId="0" fontId="1" fillId="8" borderId="1" xfId="0" applyFont="1" applyFill="1" applyBorder="1" applyAlignment="1">
      <alignment horizontal="center" wrapText="1"/>
    </xf>
    <xf numFmtId="164" fontId="2" fillId="8" borderId="1" xfId="0" applyNumberFormat="1" applyFont="1" applyFill="1" applyBorder="1" applyAlignment="1">
      <alignment horizontal="center"/>
    </xf>
    <xf numFmtId="164" fontId="2" fillId="9" borderId="1" xfId="0" applyNumberFormat="1" applyFont="1" applyFill="1" applyBorder="1" applyAlignment="1">
      <alignment horizontal="center"/>
    </xf>
    <xf numFmtId="167" fontId="2" fillId="7" borderId="1" xfId="0" applyNumberFormat="1" applyFont="1" applyFill="1" applyBorder="1" applyAlignment="1">
      <alignment horizontal="center"/>
    </xf>
    <xf numFmtId="167" fontId="2" fillId="6" borderId="1" xfId="0" applyNumberFormat="1" applyFont="1" applyFill="1" applyBorder="1" applyAlignment="1">
      <alignment horizontal="center"/>
    </xf>
    <xf numFmtId="167" fontId="2" fillId="9" borderId="1" xfId="0" applyNumberFormat="1" applyFont="1" applyFill="1" applyBorder="1" applyAlignment="1">
      <alignment horizontal="center"/>
    </xf>
    <xf numFmtId="167" fontId="2" fillId="8" borderId="1" xfId="0" applyNumberFormat="1" applyFont="1" applyFill="1" applyBorder="1" applyAlignment="1">
      <alignment horizontal="center"/>
    </xf>
    <xf numFmtId="0" fontId="2" fillId="0" borderId="8" xfId="0" applyFont="1" applyFill="1" applyBorder="1"/>
    <xf numFmtId="0" fontId="2" fillId="0" borderId="9" xfId="0" applyFont="1" applyFill="1" applyBorder="1"/>
    <xf numFmtId="0" fontId="2" fillId="0" borderId="11" xfId="0" applyFont="1" applyFill="1" applyBorder="1" applyAlignment="1">
      <alignment vertical="top"/>
    </xf>
    <xf numFmtId="0" fontId="2" fillId="0" borderId="13" xfId="0" applyFont="1" applyFill="1" applyBorder="1" applyAlignment="1">
      <alignment vertical="top"/>
    </xf>
    <xf numFmtId="0" fontId="2" fillId="0" borderId="14" xfId="0" applyFont="1" applyFill="1" applyBorder="1" applyAlignment="1">
      <alignment vertical="top"/>
    </xf>
    <xf numFmtId="49" fontId="0" fillId="0" borderId="10" xfId="0" applyNumberFormat="1" applyFont="1" applyBorder="1"/>
    <xf numFmtId="0" fontId="34" fillId="0" borderId="10" xfId="0" applyFont="1" applyBorder="1" applyAlignment="1"/>
    <xf numFmtId="0" fontId="34" fillId="0" borderId="10"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11" xfId="0" applyFont="1" applyFill="1" applyBorder="1" applyAlignment="1">
      <alignment vertical="center"/>
    </xf>
    <xf numFmtId="0" fontId="0" fillId="0" borderId="0" xfId="0" applyFill="1" applyBorder="1" applyAlignment="1">
      <alignment vertical="center"/>
    </xf>
    <xf numFmtId="0" fontId="0" fillId="0" borderId="8" xfId="0" applyBorder="1"/>
    <xf numFmtId="0" fontId="0" fillId="0" borderId="9" xfId="0" applyBorder="1"/>
    <xf numFmtId="0" fontId="0" fillId="0" borderId="11" xfId="0" applyBorder="1" applyAlignment="1">
      <alignment vertical="top" wrapText="1"/>
    </xf>
    <xf numFmtId="0" fontId="0" fillId="0" borderId="11"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0" xfId="0" applyFill="1" applyBorder="1" applyAlignment="1">
      <alignment horizontal="left" indent="1"/>
    </xf>
    <xf numFmtId="0" fontId="2" fillId="0" borderId="11" xfId="0" applyFont="1" applyFill="1" applyBorder="1"/>
    <xf numFmtId="0" fontId="36" fillId="0" borderId="0" xfId="1" applyFont="1" applyBorder="1" applyAlignment="1">
      <alignment horizontal="left" vertical="top" indent="3"/>
    </xf>
    <xf numFmtId="49" fontId="2" fillId="10" borderId="1" xfId="0" applyNumberFormat="1" applyFont="1" applyFill="1" applyBorder="1" applyAlignment="1">
      <alignment horizontal="center"/>
    </xf>
    <xf numFmtId="167" fontId="2" fillId="10" borderId="1" xfId="0" applyNumberFormat="1" applyFont="1" applyFill="1" applyBorder="1" applyAlignment="1">
      <alignment horizontal="center"/>
    </xf>
    <xf numFmtId="2" fontId="2" fillId="10" borderId="1" xfId="0" applyNumberFormat="1" applyFont="1" applyFill="1" applyBorder="1" applyAlignment="1">
      <alignment horizontal="center"/>
    </xf>
    <xf numFmtId="0" fontId="1" fillId="11" borderId="3" xfId="0" applyFont="1" applyFill="1" applyBorder="1" applyAlignment="1"/>
    <xf numFmtId="0" fontId="1" fillId="11" borderId="4" xfId="0" applyFont="1" applyFill="1" applyBorder="1" applyAlignment="1"/>
    <xf numFmtId="0" fontId="1" fillId="11" borderId="5" xfId="0" applyFont="1" applyFill="1" applyBorder="1" applyAlignment="1"/>
    <xf numFmtId="0" fontId="1" fillId="11" borderId="1" xfId="0" applyFont="1" applyFill="1" applyBorder="1" applyAlignment="1">
      <alignment horizontal="center"/>
    </xf>
    <xf numFmtId="0" fontId="1" fillId="11" borderId="6" xfId="0" applyFont="1" applyFill="1" applyBorder="1" applyAlignment="1">
      <alignment horizontal="center" wrapText="1"/>
    </xf>
    <xf numFmtId="49" fontId="2" fillId="11" borderId="1" xfId="0" applyNumberFormat="1" applyFont="1" applyFill="1" applyBorder="1" applyAlignment="1">
      <alignment horizontal="center"/>
    </xf>
    <xf numFmtId="167" fontId="2" fillId="11" borderId="1" xfId="0" applyNumberFormat="1" applyFont="1" applyFill="1" applyBorder="1" applyAlignment="1">
      <alignment horizontal="center"/>
    </xf>
    <xf numFmtId="2" fontId="2" fillId="11" borderId="1" xfId="0" applyNumberFormat="1" applyFont="1" applyFill="1" applyBorder="1" applyAlignment="1">
      <alignment horizontal="center"/>
    </xf>
    <xf numFmtId="0" fontId="10" fillId="0" borderId="5" xfId="0" applyFont="1" applyBorder="1" applyAlignment="1"/>
    <xf numFmtId="0" fontId="0" fillId="0" borderId="12" xfId="0" applyBorder="1"/>
    <xf numFmtId="0" fontId="10" fillId="0" borderId="14" xfId="0" applyFont="1" applyBorder="1" applyAlignment="1"/>
    <xf numFmtId="2" fontId="10" fillId="0" borderId="5" xfId="0" applyNumberFormat="1" applyFont="1" applyBorder="1" applyAlignment="1">
      <alignment horizontal="center"/>
    </xf>
    <xf numFmtId="164" fontId="10" fillId="0" borderId="1" xfId="0" applyNumberFormat="1" applyFont="1" applyBorder="1" applyAlignment="1">
      <alignment horizontal="center"/>
    </xf>
    <xf numFmtId="0" fontId="0" fillId="0" borderId="0" xfId="0" applyBorder="1" applyAlignment="1">
      <alignment vertical="center"/>
    </xf>
    <xf numFmtId="0" fontId="0" fillId="0" borderId="0" xfId="0" applyAlignment="1">
      <alignment vertical="center"/>
    </xf>
    <xf numFmtId="0" fontId="2" fillId="0" borderId="9" xfId="0" applyFont="1" applyBorder="1"/>
    <xf numFmtId="0" fontId="2" fillId="0" borderId="11" xfId="0" applyFont="1" applyBorder="1" applyAlignment="1">
      <alignment vertical="center"/>
    </xf>
    <xf numFmtId="0" fontId="36" fillId="0" borderId="10" xfId="1" applyFont="1" applyBorder="1" applyAlignment="1">
      <alignment horizontal="left" vertical="center" indent="3"/>
    </xf>
    <xf numFmtId="0" fontId="44" fillId="0" borderId="10" xfId="1" applyFont="1" applyBorder="1" applyAlignment="1">
      <alignment horizontal="left" vertical="center"/>
    </xf>
    <xf numFmtId="49" fontId="44" fillId="0" borderId="10" xfId="1" applyNumberFormat="1" applyFont="1" applyBorder="1" applyAlignment="1">
      <alignment horizontal="left" vertical="center" indent="3"/>
    </xf>
    <xf numFmtId="0" fontId="46" fillId="0" borderId="10" xfId="1" applyFont="1" applyBorder="1" applyAlignment="1">
      <alignment horizontal="left" vertical="center"/>
    </xf>
    <xf numFmtId="0" fontId="44" fillId="0" borderId="10" xfId="0" applyFont="1" applyFill="1" applyBorder="1" applyAlignment="1">
      <alignment vertical="center"/>
    </xf>
    <xf numFmtId="0" fontId="44" fillId="0" borderId="10" xfId="0" applyFont="1" applyFill="1" applyBorder="1" applyAlignment="1">
      <alignment horizontal="left" vertical="center" indent="3"/>
    </xf>
    <xf numFmtId="0" fontId="44" fillId="0" borderId="10" xfId="0" applyFont="1" applyBorder="1" applyAlignment="1">
      <alignment horizontal="left" vertical="center"/>
    </xf>
    <xf numFmtId="0" fontId="0" fillId="0" borderId="10" xfId="0" applyBorder="1" applyAlignment="1">
      <alignment vertical="center"/>
    </xf>
    <xf numFmtId="49" fontId="44" fillId="0" borderId="10" xfId="1" applyNumberFormat="1" applyFont="1" applyBorder="1" applyAlignment="1">
      <alignment horizontal="left" vertical="center"/>
    </xf>
    <xf numFmtId="0" fontId="36" fillId="0" borderId="12" xfId="1" applyFont="1" applyBorder="1" applyAlignment="1">
      <alignment horizontal="left" vertical="center" indent="3"/>
    </xf>
    <xf numFmtId="0" fontId="2" fillId="0" borderId="14" xfId="0" applyFont="1" applyBorder="1" applyAlignment="1">
      <alignment vertical="top"/>
    </xf>
    <xf numFmtId="166" fontId="2" fillId="12" borderId="1" xfId="0" applyNumberFormat="1" applyFont="1" applyFill="1" applyBorder="1" applyAlignment="1">
      <alignment horizontal="center"/>
    </xf>
    <xf numFmtId="166" fontId="1" fillId="12" borderId="1" xfId="0" applyNumberFormat="1" applyFont="1" applyFill="1" applyBorder="1" applyAlignment="1">
      <alignment horizontal="center"/>
    </xf>
    <xf numFmtId="0" fontId="52" fillId="0" borderId="0" xfId="0" applyFont="1"/>
    <xf numFmtId="0" fontId="34" fillId="0" borderId="10" xfId="0" applyFont="1" applyBorder="1" applyAlignment="1">
      <alignment horizontal="left"/>
    </xf>
    <xf numFmtId="0" fontId="34" fillId="0" borderId="10" xfId="0" applyFont="1" applyBorder="1" applyAlignment="1">
      <alignment horizontal="left" indent="3"/>
    </xf>
    <xf numFmtId="0" fontId="34" fillId="0" borderId="10" xfId="0" applyFont="1" applyBorder="1" applyAlignment="1">
      <alignment horizontal="left" vertical="center" indent="3"/>
    </xf>
    <xf numFmtId="0" fontId="0" fillId="0" borderId="11" xfId="0" applyBorder="1"/>
    <xf numFmtId="168" fontId="2" fillId="12" borderId="1" xfId="0" applyNumberFormat="1" applyFont="1" applyFill="1" applyBorder="1" applyAlignment="1">
      <alignment horizontal="center"/>
    </xf>
    <xf numFmtId="0" fontId="50" fillId="0" borderId="3" xfId="1" applyFont="1" applyBorder="1" applyAlignment="1">
      <alignment horizontal="left"/>
    </xf>
    <xf numFmtId="0" fontId="2" fillId="3" borderId="15" xfId="0" applyFont="1" applyFill="1" applyBorder="1"/>
    <xf numFmtId="1" fontId="2" fillId="3" borderId="15" xfId="0" applyNumberFormat="1" applyFont="1" applyFill="1" applyBorder="1" applyAlignment="1">
      <alignment horizontal="center"/>
    </xf>
    <xf numFmtId="1" fontId="2" fillId="0" borderId="7" xfId="0" applyNumberFormat="1" applyFont="1" applyFill="1" applyBorder="1" applyAlignment="1">
      <alignment horizontal="center" vertical="center"/>
    </xf>
    <xf numFmtId="0" fontId="29" fillId="3" borderId="1" xfId="0" applyFont="1" applyFill="1" applyBorder="1"/>
  </cellXfs>
  <cellStyles count="2">
    <cellStyle name="Hyperlink" xfId="1" builtinId="8"/>
    <cellStyle name="Normal" xfId="0" builtinId="0"/>
  </cellStyles>
  <dxfs count="8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theme="0" tint="-0.1499679555650502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8080"/>
      <color rgb="FF008000"/>
      <color rgb="FFFFFF99"/>
      <color rgb="FFFFFFCC"/>
      <color rgb="FFFFFF66"/>
      <color rgb="FFFFB7E7"/>
      <color rgb="FFFF66CC"/>
      <color rgb="FFC1E4A6"/>
      <color rgb="FF7BC6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novonordisk.com.au/" TargetMode="External"/><Relationship Id="rId7" Type="http://schemas.openxmlformats.org/officeDocument/2006/relationships/hyperlink" Target="http://merck.com.au/" TargetMode="External"/><Relationship Id="rId2" Type="http://schemas.openxmlformats.org/officeDocument/2006/relationships/hyperlink" Target="https://www.lilly.com.au/" TargetMode="External"/><Relationship Id="rId1" Type="http://schemas.openxmlformats.org/officeDocument/2006/relationships/hyperlink" Target="http://www.pfizer.com.au/" TargetMode="External"/><Relationship Id="rId6" Type="http://schemas.openxmlformats.org/officeDocument/2006/relationships/hyperlink" Target="http://www.ferring.com.au/" TargetMode="External"/><Relationship Id="rId5" Type="http://schemas.openxmlformats.org/officeDocument/2006/relationships/hyperlink" Target="http://www.scigenltd.com/" TargetMode="External"/><Relationship Id="rId4" Type="http://schemas.openxmlformats.org/officeDocument/2006/relationships/hyperlink" Target="http://www.ipsen.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heetViews>
  <sheetFormatPr defaultRowHeight="15" x14ac:dyDescent="0.25"/>
  <cols>
    <col min="1" max="1" width="98.42578125" customWidth="1"/>
    <col min="2" max="2" width="16" bestFit="1" customWidth="1"/>
    <col min="14" max="14" width="12" customWidth="1"/>
  </cols>
  <sheetData>
    <row r="1" spans="1:2" ht="21" x14ac:dyDescent="0.35">
      <c r="A1" s="112" t="s">
        <v>317</v>
      </c>
    </row>
    <row r="2" spans="1:2" ht="18.75" x14ac:dyDescent="0.3">
      <c r="A2" s="111" t="s">
        <v>449</v>
      </c>
    </row>
    <row r="4" spans="1:2" ht="15.75" x14ac:dyDescent="0.25">
      <c r="A4" s="97" t="s">
        <v>318</v>
      </c>
    </row>
    <row r="5" spans="1:2" ht="15.75" x14ac:dyDescent="0.25">
      <c r="A5" s="96" t="s">
        <v>325</v>
      </c>
    </row>
    <row r="6" spans="1:2" ht="15.75" x14ac:dyDescent="0.25">
      <c r="A6" s="95" t="s">
        <v>319</v>
      </c>
    </row>
    <row r="7" spans="1:2" ht="15.75" x14ac:dyDescent="0.25">
      <c r="A7" s="95" t="s">
        <v>320</v>
      </c>
    </row>
    <row r="8" spans="1:2" ht="15.75" x14ac:dyDescent="0.25">
      <c r="A8" s="95" t="s">
        <v>321</v>
      </c>
    </row>
    <row r="9" spans="1:2" ht="15.75" x14ac:dyDescent="0.25">
      <c r="A9" s="95"/>
    </row>
    <row r="10" spans="1:2" x14ac:dyDescent="0.25">
      <c r="A10" s="94"/>
    </row>
    <row r="11" spans="1:2" ht="15.75" x14ac:dyDescent="0.25">
      <c r="A11" s="101" t="s">
        <v>331</v>
      </c>
      <c r="B11" s="98"/>
    </row>
    <row r="12" spans="1:2" x14ac:dyDescent="0.25">
      <c r="A12" s="100" t="s">
        <v>1</v>
      </c>
      <c r="B12" s="99"/>
    </row>
    <row r="13" spans="1:2" ht="15.75" x14ac:dyDescent="0.25">
      <c r="A13" s="100" t="s">
        <v>2</v>
      </c>
      <c r="B13" s="15"/>
    </row>
    <row r="14" spans="1:2" ht="15.75" x14ac:dyDescent="0.25">
      <c r="A14" s="100" t="s">
        <v>3</v>
      </c>
      <c r="B14" s="15"/>
    </row>
    <row r="15" spans="1:2" ht="15.75" x14ac:dyDescent="0.25">
      <c r="A15" s="100" t="s">
        <v>4</v>
      </c>
      <c r="B15" s="15"/>
    </row>
    <row r="16" spans="1:2" ht="15.75" x14ac:dyDescent="0.25">
      <c r="A16" s="100" t="s">
        <v>6</v>
      </c>
      <c r="B16" s="15"/>
    </row>
    <row r="17" spans="1:2" ht="15.75" x14ac:dyDescent="0.25">
      <c r="A17" s="100" t="s">
        <v>5</v>
      </c>
      <c r="B17" s="15"/>
    </row>
    <row r="18" spans="1:2" ht="15.75" x14ac:dyDescent="0.25">
      <c r="A18" s="100" t="s">
        <v>322</v>
      </c>
      <c r="B18" s="15"/>
    </row>
    <row r="19" spans="1:2" ht="15.75" x14ac:dyDescent="0.25">
      <c r="A19" s="100" t="s">
        <v>8</v>
      </c>
      <c r="B19" s="15"/>
    </row>
    <row r="20" spans="1:2" ht="15.75" x14ac:dyDescent="0.25">
      <c r="A20" s="100" t="s">
        <v>9</v>
      </c>
      <c r="B20" s="15"/>
    </row>
    <row r="21" spans="1:2" ht="15.75" x14ac:dyDescent="0.25">
      <c r="A21" s="100" t="s">
        <v>323</v>
      </c>
      <c r="B21" s="15"/>
    </row>
    <row r="22" spans="1:2" ht="15.75" x14ac:dyDescent="0.25">
      <c r="A22" s="100" t="s">
        <v>324</v>
      </c>
      <c r="B22" s="15"/>
    </row>
    <row r="25" spans="1:2" x14ac:dyDescent="0.25">
      <c r="A25" s="94" t="s">
        <v>344</v>
      </c>
    </row>
    <row r="26" spans="1:2" x14ac:dyDescent="0.25">
      <c r="A26" s="102" t="s">
        <v>580</v>
      </c>
    </row>
    <row r="27" spans="1:2" x14ac:dyDescent="0.25">
      <c r="A27" s="102" t="s">
        <v>326</v>
      </c>
    </row>
    <row r="28" spans="1:2" x14ac:dyDescent="0.25">
      <c r="A28" s="102" t="s">
        <v>327</v>
      </c>
    </row>
    <row r="29" spans="1:2" x14ac:dyDescent="0.25">
      <c r="A29" s="102" t="s">
        <v>328</v>
      </c>
    </row>
    <row r="30" spans="1:2" x14ac:dyDescent="0.25">
      <c r="A30" s="102" t="s">
        <v>330</v>
      </c>
    </row>
    <row r="31" spans="1:2" x14ac:dyDescent="0.25">
      <c r="A31" s="102" t="s">
        <v>574</v>
      </c>
    </row>
    <row r="32" spans="1:2" x14ac:dyDescent="0.25">
      <c r="A32" s="102" t="s">
        <v>329</v>
      </c>
    </row>
  </sheetData>
  <sheetProtection algorithmName="SHA-256" hashValue="2aNHOz9hoU/cImyHl//Z4mIxMnVNenUXXnweHo0k2LY=" saltValue="NNjOCvDpj20BoXpkptM0mw==" spinCount="100000" sheet="1" objects="1" scenarios="1"/>
  <hyperlinks>
    <hyperlink ref="A12" location="'All excl. PWS'!A1" display="Short stature and slow growth"/>
    <hyperlink ref="A13" location="'All excl. PWS'!A1" display="Short stature associated with biochemical growth hormone deficiency"/>
    <hyperlink ref="A14" location="'All excl. PWS'!A1" display="Growth retardation secondary to an intracranial lesion, or cranial irradiation"/>
    <hyperlink ref="A15" location="'All excl. PWS'!A1" display="Hypothalamic-pituitary disease secondary to a structural lesion, with hypothalamic obesity driven growth"/>
    <hyperlink ref="A16" location="'All excl. PWS'!A1" display="Biochemical growth hormone deficiency and precocious puberty"/>
    <hyperlink ref="A17" location="'All excl. PWS'!A1" display="Risk of hypoglycaemia secondary to growth hormone deficiency in neonates/infants"/>
    <hyperlink ref="A18" location="'All excl. PWS'!A1" display="Short stature associated with Turner Syndrome"/>
    <hyperlink ref="A19" location="'All excl. PWS'!A1" display="Short stature due to short stature homeobox (SHOX) gene disorders"/>
    <hyperlink ref="A20" location="'All excl. PWS'!A1" display="Short stature associated with chronic renal insufficiency"/>
    <hyperlink ref="A21" location="'PWS non-mature skeleton only'!A1" display="Short stature and poor body composition due to Prader-Willi Syndrome - non-mature skeleton"/>
    <hyperlink ref="A22" location="'PWS mature skeleton only'!A1" display="Short stature and poor body composition due to Prader-Willi Syndrome - mature skeleton"/>
    <hyperlink ref="A26" r:id="rId1" display="Pfizer Australia Pty Ltd - Genotropin, Genotropin GoQuick, Genotropin MiniQuick"/>
    <hyperlink ref="A27" r:id="rId2"/>
    <hyperlink ref="A28" r:id="rId3"/>
    <hyperlink ref="A29" r:id="rId4"/>
    <hyperlink ref="A31" r:id="rId5"/>
    <hyperlink ref="A32" r:id="rId6"/>
    <hyperlink ref="A30" r:id="rId7"/>
  </hyperlinks>
  <pageMargins left="0.70866141732283472" right="0.70866141732283472" top="0.74803149606299213" bottom="0.74803149606299213"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O151"/>
  <sheetViews>
    <sheetView tabSelected="1" topLeftCell="A88" zoomScaleNormal="100" workbookViewId="0"/>
  </sheetViews>
  <sheetFormatPr defaultRowHeight="15" x14ac:dyDescent="0.25"/>
  <cols>
    <col min="1" max="1" width="31.5703125" customWidth="1"/>
    <col min="2" max="2" width="28" customWidth="1"/>
    <col min="3" max="3" width="40.28515625" customWidth="1"/>
    <col min="4" max="4" width="44.28515625" customWidth="1"/>
    <col min="5" max="5" width="39.28515625" customWidth="1"/>
    <col min="7" max="7" width="10.5703125" customWidth="1"/>
    <col min="8" max="8" width="12.85546875" customWidth="1"/>
    <col min="9" max="9" width="14.42578125" customWidth="1"/>
  </cols>
  <sheetData>
    <row r="1" spans="1:10" ht="23.25" x14ac:dyDescent="0.35">
      <c r="A1" s="55" t="s">
        <v>535</v>
      </c>
      <c r="B1" s="55"/>
      <c r="C1" s="55"/>
      <c r="D1" s="55"/>
      <c r="E1" s="55"/>
      <c r="F1" s="55"/>
      <c r="G1" s="55"/>
      <c r="H1" s="55"/>
      <c r="I1" s="55"/>
    </row>
    <row r="2" spans="1:10" s="84" customFormat="1" ht="19.5" customHeight="1" x14ac:dyDescent="0.3">
      <c r="A2" s="85"/>
      <c r="B2" s="9"/>
      <c r="C2" s="9"/>
      <c r="D2" s="9"/>
      <c r="E2" s="9"/>
      <c r="F2" s="9"/>
      <c r="G2" s="9"/>
      <c r="H2" s="9"/>
      <c r="I2" s="9"/>
    </row>
    <row r="3" spans="1:10" s="2" customFormat="1" ht="18" customHeight="1" x14ac:dyDescent="0.25">
      <c r="A3" s="76" t="s">
        <v>42</v>
      </c>
      <c r="B3" s="77"/>
      <c r="C3" s="77"/>
      <c r="D3" s="77"/>
      <c r="E3" s="77"/>
      <c r="F3" s="77"/>
      <c r="G3" s="77"/>
      <c r="H3" s="109"/>
      <c r="I3" s="107"/>
      <c r="J3" s="15"/>
    </row>
    <row r="4" spans="1:10" s="46" customFormat="1" ht="21.95" customHeight="1" x14ac:dyDescent="0.3">
      <c r="A4" s="191" t="s">
        <v>511</v>
      </c>
      <c r="B4" s="78"/>
      <c r="C4" s="78"/>
      <c r="D4" s="78"/>
      <c r="E4" s="78"/>
      <c r="F4" s="78"/>
      <c r="G4" s="78"/>
      <c r="H4" s="79"/>
      <c r="I4" s="78"/>
      <c r="J4" s="78"/>
    </row>
    <row r="5" spans="1:10" s="46" customFormat="1" ht="21.95" customHeight="1" x14ac:dyDescent="0.3">
      <c r="A5" s="191" t="s">
        <v>512</v>
      </c>
      <c r="B5" s="78"/>
      <c r="C5" s="78"/>
      <c r="D5" s="78"/>
      <c r="E5" s="78"/>
      <c r="F5" s="78"/>
      <c r="G5" s="78"/>
      <c r="H5" s="79"/>
      <c r="I5" s="78"/>
      <c r="J5" s="78"/>
    </row>
    <row r="6" spans="1:10" s="46" customFormat="1" ht="21.95" customHeight="1" x14ac:dyDescent="0.3">
      <c r="A6" s="191" t="s">
        <v>509</v>
      </c>
      <c r="B6" s="78"/>
      <c r="C6" s="78"/>
      <c r="D6" s="78"/>
      <c r="E6" s="78"/>
      <c r="F6" s="78"/>
      <c r="G6" s="78"/>
      <c r="H6" s="79"/>
      <c r="I6" s="78"/>
      <c r="J6" s="78"/>
    </row>
    <row r="7" spans="1:10" s="46" customFormat="1" ht="21.95" customHeight="1" x14ac:dyDescent="0.3">
      <c r="A7" s="191" t="s">
        <v>513</v>
      </c>
      <c r="B7" s="78"/>
      <c r="C7" s="78"/>
      <c r="D7" s="78"/>
      <c r="E7" s="78"/>
      <c r="F7" s="78"/>
      <c r="G7" s="78"/>
      <c r="H7" s="79"/>
      <c r="I7" s="78"/>
      <c r="J7" s="78"/>
    </row>
    <row r="8" spans="1:10" s="46" customFormat="1" ht="21.95" customHeight="1" x14ac:dyDescent="0.3">
      <c r="A8" s="191" t="s">
        <v>514</v>
      </c>
      <c r="B8" s="78"/>
      <c r="C8" s="78"/>
      <c r="D8" s="78"/>
      <c r="E8" s="78"/>
      <c r="F8" s="78"/>
      <c r="G8" s="78"/>
      <c r="H8" s="79"/>
      <c r="I8" s="78"/>
      <c r="J8" s="78"/>
    </row>
    <row r="9" spans="1:10" s="46" customFormat="1" ht="21.95" customHeight="1" x14ac:dyDescent="0.3">
      <c r="A9" s="241" t="s">
        <v>515</v>
      </c>
      <c r="B9" s="78"/>
      <c r="C9" s="78"/>
      <c r="D9" s="78"/>
      <c r="E9" s="78"/>
      <c r="F9" s="78"/>
      <c r="G9" s="78"/>
      <c r="H9" s="79"/>
      <c r="I9" s="78"/>
      <c r="J9" s="78"/>
    </row>
    <row r="10" spans="1:10" s="46" customFormat="1" ht="21.95" customHeight="1" x14ac:dyDescent="0.3">
      <c r="A10" s="240" t="s">
        <v>516</v>
      </c>
      <c r="B10" s="78"/>
      <c r="C10" s="78"/>
      <c r="D10" s="78"/>
      <c r="E10" s="78"/>
      <c r="F10" s="78"/>
      <c r="G10" s="78"/>
      <c r="H10" s="79"/>
      <c r="I10" s="78"/>
      <c r="J10" s="78"/>
    </row>
    <row r="11" spans="1:10" s="46" customFormat="1" ht="21.95" customHeight="1" x14ac:dyDescent="0.3">
      <c r="A11" s="191" t="s">
        <v>508</v>
      </c>
      <c r="B11" s="78"/>
      <c r="C11" s="78"/>
      <c r="D11" s="78"/>
      <c r="E11" s="78"/>
      <c r="F11" s="78"/>
      <c r="G11" s="78"/>
      <c r="H11" s="79"/>
      <c r="I11" s="78"/>
      <c r="J11" s="78"/>
    </row>
    <row r="12" spans="1:10" s="46" customFormat="1" ht="21.95" customHeight="1" x14ac:dyDescent="0.3">
      <c r="A12" s="191" t="s">
        <v>507</v>
      </c>
      <c r="B12" s="78"/>
      <c r="C12" s="78"/>
      <c r="D12" s="78"/>
      <c r="E12" s="78"/>
      <c r="F12" s="78"/>
      <c r="G12" s="78"/>
      <c r="H12" s="79"/>
      <c r="I12" s="78"/>
      <c r="J12" s="78"/>
    </row>
    <row r="13" spans="1:10" s="46" customFormat="1" ht="21.95" customHeight="1" x14ac:dyDescent="0.3">
      <c r="A13" s="191" t="s">
        <v>506</v>
      </c>
      <c r="B13" s="78"/>
      <c r="C13" s="78"/>
      <c r="D13" s="78"/>
      <c r="E13" s="78"/>
      <c r="F13" s="78"/>
      <c r="G13" s="78"/>
      <c r="H13" s="79"/>
      <c r="I13" s="78"/>
      <c r="J13" s="78"/>
    </row>
    <row r="14" spans="1:10" s="46" customFormat="1" ht="21.95" customHeight="1" x14ac:dyDescent="0.3">
      <c r="A14" s="191" t="s">
        <v>570</v>
      </c>
      <c r="B14" s="78"/>
      <c r="C14" s="78"/>
      <c r="D14" s="78"/>
      <c r="E14" s="78"/>
      <c r="F14" s="78"/>
      <c r="G14" s="78"/>
      <c r="H14" s="79"/>
      <c r="I14" s="78"/>
      <c r="J14" s="78"/>
    </row>
    <row r="15" spans="1:10" s="46" customFormat="1" ht="20.100000000000001" customHeight="1" x14ac:dyDescent="0.25">
      <c r="A15" s="113" t="s">
        <v>345</v>
      </c>
      <c r="B15" s="80"/>
      <c r="C15" s="80"/>
      <c r="D15" s="80"/>
      <c r="E15" s="80"/>
      <c r="F15" s="80"/>
      <c r="G15" s="80"/>
      <c r="H15" s="110"/>
      <c r="I15" s="108"/>
      <c r="J15" s="78"/>
    </row>
    <row r="16" spans="1:10" s="2" customFormat="1" ht="15.75" x14ac:dyDescent="0.25"/>
    <row r="17" spans="1:10" s="2" customFormat="1" ht="15.75" x14ac:dyDescent="0.25"/>
    <row r="18" spans="1:10" s="2" customFormat="1" ht="18" customHeight="1" x14ac:dyDescent="0.25">
      <c r="A18" s="56" t="s">
        <v>0</v>
      </c>
      <c r="B18" s="57"/>
      <c r="C18" s="57"/>
      <c r="D18" s="57"/>
      <c r="E18" s="58"/>
    </row>
    <row r="19" spans="1:10" ht="15.75" x14ac:dyDescent="0.25">
      <c r="A19" s="56" t="s">
        <v>305</v>
      </c>
      <c r="B19" s="57"/>
      <c r="C19" s="58"/>
      <c r="D19" s="40" t="s">
        <v>306</v>
      </c>
      <c r="E19" s="40" t="s">
        <v>307</v>
      </c>
      <c r="F19" s="19"/>
      <c r="G19" s="19"/>
      <c r="H19" s="19"/>
      <c r="I19" s="19"/>
      <c r="J19" s="11"/>
    </row>
    <row r="20" spans="1:10" ht="18" customHeight="1" x14ac:dyDescent="0.25">
      <c r="A20" s="65" t="s">
        <v>1</v>
      </c>
      <c r="B20" s="66"/>
      <c r="C20" s="67"/>
      <c r="D20" s="44" t="s">
        <v>40</v>
      </c>
      <c r="E20" s="44" t="s">
        <v>309</v>
      </c>
      <c r="F20" s="22"/>
      <c r="G20" s="22"/>
      <c r="H20" s="22"/>
      <c r="I20" s="11"/>
      <c r="J20" s="11"/>
    </row>
    <row r="21" spans="1:10" ht="18" customHeight="1" x14ac:dyDescent="0.25">
      <c r="A21" s="68" t="s">
        <v>2</v>
      </c>
      <c r="B21" s="69"/>
      <c r="C21" s="70"/>
      <c r="D21" s="51" t="s">
        <v>40</v>
      </c>
      <c r="E21" s="51" t="s">
        <v>309</v>
      </c>
      <c r="F21" s="22"/>
      <c r="G21" s="22"/>
      <c r="H21" s="22"/>
      <c r="I21" s="11"/>
      <c r="J21" s="11"/>
    </row>
    <row r="22" spans="1:10" ht="18" customHeight="1" x14ac:dyDescent="0.25">
      <c r="A22" s="65" t="s">
        <v>3</v>
      </c>
      <c r="B22" s="66"/>
      <c r="C22" s="67"/>
      <c r="D22" s="44" t="s">
        <v>40</v>
      </c>
      <c r="E22" s="44" t="s">
        <v>309</v>
      </c>
      <c r="F22" s="22"/>
      <c r="G22" s="22"/>
      <c r="H22" s="22"/>
      <c r="I22" s="11"/>
      <c r="J22" s="11"/>
    </row>
    <row r="23" spans="1:10" ht="18" customHeight="1" x14ac:dyDescent="0.25">
      <c r="A23" s="68" t="s">
        <v>4</v>
      </c>
      <c r="B23" s="69"/>
      <c r="C23" s="70"/>
      <c r="D23" s="51" t="s">
        <v>40</v>
      </c>
      <c r="E23" s="51" t="s">
        <v>309</v>
      </c>
      <c r="F23" s="22"/>
      <c r="G23" s="22"/>
      <c r="H23" s="22"/>
      <c r="I23" s="11"/>
      <c r="J23" s="11"/>
    </row>
    <row r="24" spans="1:10" ht="18" customHeight="1" x14ac:dyDescent="0.25">
      <c r="A24" s="65" t="s">
        <v>5</v>
      </c>
      <c r="B24" s="66"/>
      <c r="C24" s="67"/>
      <c r="D24" s="44" t="s">
        <v>40</v>
      </c>
      <c r="E24" s="44" t="s">
        <v>309</v>
      </c>
      <c r="F24" s="22"/>
      <c r="G24" s="22"/>
      <c r="H24" s="22"/>
      <c r="I24" s="11"/>
      <c r="J24" s="11"/>
    </row>
    <row r="25" spans="1:10" ht="18" customHeight="1" x14ac:dyDescent="0.25">
      <c r="A25" s="62" t="s">
        <v>6</v>
      </c>
      <c r="B25" s="63"/>
      <c r="C25" s="64"/>
      <c r="D25" s="53" t="s">
        <v>40</v>
      </c>
      <c r="E25" s="53" t="s">
        <v>309</v>
      </c>
      <c r="F25" s="22"/>
      <c r="G25" s="22"/>
      <c r="H25" s="22"/>
      <c r="I25" s="11"/>
      <c r="J25" s="11"/>
    </row>
    <row r="26" spans="1:10" ht="18" customHeight="1" x14ac:dyDescent="0.25">
      <c r="A26" s="65" t="s">
        <v>7</v>
      </c>
      <c r="B26" s="66"/>
      <c r="C26" s="67"/>
      <c r="D26" s="44" t="s">
        <v>41</v>
      </c>
      <c r="E26" s="44" t="s">
        <v>311</v>
      </c>
      <c r="F26" s="22"/>
      <c r="G26" s="22"/>
      <c r="H26" s="22"/>
      <c r="I26" s="11"/>
      <c r="J26" s="11"/>
    </row>
    <row r="27" spans="1:10" ht="18" customHeight="1" x14ac:dyDescent="0.25">
      <c r="A27" s="68" t="s">
        <v>8</v>
      </c>
      <c r="B27" s="69"/>
      <c r="C27" s="70"/>
      <c r="D27" s="51" t="s">
        <v>41</v>
      </c>
      <c r="E27" s="51" t="s">
        <v>311</v>
      </c>
      <c r="F27" s="22"/>
      <c r="G27" s="22"/>
      <c r="H27" s="22"/>
      <c r="I27" s="11"/>
      <c r="J27" s="11"/>
    </row>
    <row r="28" spans="1:10" ht="18" customHeight="1" x14ac:dyDescent="0.25">
      <c r="A28" s="65" t="s">
        <v>9</v>
      </c>
      <c r="B28" s="66"/>
      <c r="C28" s="67"/>
      <c r="D28" s="44" t="s">
        <v>41</v>
      </c>
      <c r="E28" s="44" t="s">
        <v>311</v>
      </c>
      <c r="F28" s="22"/>
      <c r="G28" s="22"/>
      <c r="H28" s="22"/>
      <c r="I28" s="11"/>
      <c r="J28" s="11"/>
    </row>
    <row r="29" spans="1:10" ht="18" customHeight="1" x14ac:dyDescent="0.25">
      <c r="A29" s="68" t="s">
        <v>49</v>
      </c>
      <c r="B29" s="69"/>
      <c r="C29" s="70"/>
      <c r="D29" s="103" t="s">
        <v>332</v>
      </c>
      <c r="E29" s="103" t="s">
        <v>332</v>
      </c>
      <c r="F29" s="22"/>
      <c r="G29" s="22"/>
      <c r="H29" s="22"/>
      <c r="I29" s="11"/>
      <c r="J29" s="11"/>
    </row>
    <row r="30" spans="1:10" ht="18" customHeight="1" x14ac:dyDescent="0.25">
      <c r="A30" s="65" t="s">
        <v>476</v>
      </c>
      <c r="B30" s="66"/>
      <c r="C30" s="67"/>
      <c r="D30" s="104" t="s">
        <v>333</v>
      </c>
      <c r="E30" s="104" t="s">
        <v>333</v>
      </c>
      <c r="F30" s="22"/>
      <c r="G30" s="22"/>
      <c r="H30" s="22"/>
      <c r="I30" s="11"/>
      <c r="J30" s="11"/>
    </row>
    <row r="31" spans="1:10" ht="15" customHeight="1" x14ac:dyDescent="0.25">
      <c r="A31" s="61" t="s">
        <v>310</v>
      </c>
      <c r="B31" s="60"/>
      <c r="C31" s="60"/>
      <c r="D31" s="60"/>
      <c r="E31" s="60"/>
      <c r="F31" s="60"/>
      <c r="G31" s="60"/>
      <c r="H31" s="60"/>
      <c r="I31" s="60"/>
    </row>
    <row r="32" spans="1:10" ht="15" customHeight="1" x14ac:dyDescent="0.25">
      <c r="A32" s="59" t="s">
        <v>475</v>
      </c>
      <c r="B32" s="59"/>
      <c r="C32" s="59"/>
      <c r="D32" s="59"/>
      <c r="E32" s="59"/>
      <c r="F32" s="59"/>
      <c r="G32" s="59"/>
      <c r="H32" s="59"/>
      <c r="I32" s="59"/>
    </row>
    <row r="33" spans="1:15" x14ac:dyDescent="0.25">
      <c r="A33" s="3"/>
    </row>
    <row r="35" spans="1:15" ht="18" customHeight="1" x14ac:dyDescent="0.25">
      <c r="A35" s="56" t="s">
        <v>11</v>
      </c>
      <c r="B35" s="58"/>
    </row>
    <row r="36" spans="1:15" ht="18" customHeight="1" x14ac:dyDescent="0.25">
      <c r="A36" s="1" t="s">
        <v>46</v>
      </c>
      <c r="B36" s="137"/>
    </row>
    <row r="37" spans="1:15" ht="15.75" x14ac:dyDescent="0.25">
      <c r="A37" s="14" t="s">
        <v>47</v>
      </c>
      <c r="B37" s="137"/>
    </row>
    <row r="38" spans="1:15" ht="18" customHeight="1" x14ac:dyDescent="0.25">
      <c r="A38" s="1" t="s">
        <v>10</v>
      </c>
      <c r="B38" s="142">
        <f>SQRT((B36*B37)/3600)</f>
        <v>0</v>
      </c>
    </row>
    <row r="41" spans="1:15" s="2" customFormat="1" ht="21" customHeight="1" x14ac:dyDescent="0.3">
      <c r="A41" s="56" t="s">
        <v>12</v>
      </c>
      <c r="B41" s="58"/>
      <c r="E41" s="18"/>
      <c r="F41" s="15"/>
      <c r="G41" s="15"/>
      <c r="H41" s="21"/>
      <c r="I41" s="21"/>
      <c r="J41" s="21"/>
      <c r="K41" s="21"/>
      <c r="L41" s="21"/>
      <c r="M41" s="19"/>
      <c r="N41" s="17"/>
      <c r="O41" s="17"/>
    </row>
    <row r="42" spans="1:15" s="2" customFormat="1" ht="18" customHeight="1" x14ac:dyDescent="0.25">
      <c r="A42" s="4" t="s">
        <v>477</v>
      </c>
      <c r="B42" s="137"/>
      <c r="E42" s="15"/>
      <c r="F42" s="15"/>
      <c r="G42" s="15"/>
      <c r="H42" s="22"/>
      <c r="I42" s="22"/>
      <c r="J42" s="22"/>
      <c r="K42" s="22"/>
      <c r="L42" s="15"/>
      <c r="M42" s="15"/>
    </row>
    <row r="43" spans="1:15" s="2" customFormat="1" ht="18" customHeight="1" x14ac:dyDescent="0.3">
      <c r="A43" s="33" t="s">
        <v>13</v>
      </c>
      <c r="B43" s="39">
        <f>B42*B38</f>
        <v>0</v>
      </c>
      <c r="E43" s="15"/>
      <c r="F43" s="15"/>
      <c r="G43" s="15"/>
      <c r="H43" s="23"/>
      <c r="I43" s="23"/>
      <c r="J43" s="23"/>
      <c r="K43" s="23"/>
      <c r="L43" s="20"/>
      <c r="M43" s="15"/>
    </row>
    <row r="44" spans="1:15" x14ac:dyDescent="0.25">
      <c r="A44" s="114" t="s">
        <v>478</v>
      </c>
      <c r="B44" s="59"/>
      <c r="C44" s="59"/>
      <c r="D44" s="59"/>
      <c r="E44" s="59"/>
      <c r="F44" s="59"/>
      <c r="G44" s="59"/>
      <c r="H44" s="59"/>
      <c r="I44" s="59"/>
    </row>
    <row r="45" spans="1:15" x14ac:dyDescent="0.25">
      <c r="A45" s="3"/>
    </row>
    <row r="46" spans="1:15" x14ac:dyDescent="0.25">
      <c r="A46" s="3"/>
    </row>
    <row r="47" spans="1:15" ht="31.5" x14ac:dyDescent="0.25">
      <c r="A47" s="105" t="s">
        <v>315</v>
      </c>
      <c r="B47" s="137"/>
    </row>
    <row r="48" spans="1:15" ht="60" customHeight="1" x14ac:dyDescent="0.3">
      <c r="A48" s="81" t="s">
        <v>50</v>
      </c>
      <c r="B48" s="138"/>
      <c r="C48" s="11"/>
      <c r="E48" s="9"/>
      <c r="H48" s="10"/>
      <c r="I48" s="10"/>
      <c r="J48" s="10"/>
      <c r="K48" s="10"/>
      <c r="L48" s="24"/>
    </row>
    <row r="49" spans="1:12" ht="28.5" x14ac:dyDescent="0.45">
      <c r="A49" s="12" t="s">
        <v>479</v>
      </c>
      <c r="B49" s="238" t="e">
        <f>B48/B38</f>
        <v>#DIV/0!</v>
      </c>
      <c r="C49" s="239" t="s">
        <v>510</v>
      </c>
      <c r="H49" s="25"/>
      <c r="I49" s="25"/>
      <c r="J49" s="25"/>
      <c r="K49" s="25"/>
      <c r="L49" s="11"/>
    </row>
    <row r="50" spans="1:12" ht="17.25" x14ac:dyDescent="0.25">
      <c r="A50" s="54" t="s">
        <v>342</v>
      </c>
      <c r="B50" s="54"/>
      <c r="C50" s="54"/>
      <c r="D50" s="54"/>
      <c r="E50" s="54"/>
      <c r="F50" s="54"/>
      <c r="G50" s="54"/>
      <c r="H50" s="54"/>
      <c r="I50" s="54"/>
    </row>
    <row r="51" spans="1:12" ht="17.25" x14ac:dyDescent="0.25">
      <c r="A51" s="59" t="s">
        <v>480</v>
      </c>
      <c r="B51" s="59"/>
      <c r="C51" s="59"/>
      <c r="D51" s="59"/>
      <c r="E51" s="59"/>
      <c r="F51" s="59"/>
      <c r="G51" s="59"/>
      <c r="H51" s="59"/>
      <c r="I51" s="59"/>
    </row>
    <row r="54" spans="1:12" s="2" customFormat="1" ht="18" customHeight="1" x14ac:dyDescent="0.25">
      <c r="A54" s="56" t="s">
        <v>450</v>
      </c>
      <c r="B54" s="57"/>
      <c r="C54" s="58"/>
      <c r="D54" s="19"/>
      <c r="E54" s="19"/>
    </row>
    <row r="55" spans="1:12" s="2" customFormat="1" ht="63" x14ac:dyDescent="0.25">
      <c r="A55" s="34" t="s">
        <v>34</v>
      </c>
      <c r="B55" s="35" t="s">
        <v>447</v>
      </c>
      <c r="C55" s="35" t="s">
        <v>448</v>
      </c>
    </row>
    <row r="56" spans="1:12" s="2" customFormat="1" ht="18" customHeight="1" x14ac:dyDescent="0.25">
      <c r="A56" s="36" t="s">
        <v>14</v>
      </c>
      <c r="B56" s="37">
        <f>ROUNDUP(((B48*16)/5), 0)</f>
        <v>0</v>
      </c>
      <c r="C56" s="37">
        <f>ROUNDUP(((B48*13)/5), 0)</f>
        <v>0</v>
      </c>
      <c r="D56" s="87" t="str">
        <f>IF(B48&lt;1.25,A140,"")</f>
        <v>This product is not recommended at the prescribed weekly dose as the cartridge contents will not be completed within the 28 days shelf -life</v>
      </c>
    </row>
    <row r="57" spans="1:12" s="2" customFormat="1" ht="18" customHeight="1" x14ac:dyDescent="0.25">
      <c r="A57" s="147" t="s">
        <v>15</v>
      </c>
      <c r="B57" s="148">
        <f>ROUNDUP(((B48*16)/12), 0)</f>
        <v>0</v>
      </c>
      <c r="C57" s="148">
        <f>ROUNDUP(((B48*13)/12), 0)</f>
        <v>0</v>
      </c>
      <c r="D57" s="87" t="str">
        <f>IF(B48&lt;3,A140,"")</f>
        <v>This product is not recommended at the prescribed weekly dose as the cartridge contents will not be completed within the 28 days shelf -life</v>
      </c>
    </row>
    <row r="58" spans="1:12" s="2" customFormat="1" ht="18" customHeight="1" x14ac:dyDescent="0.25">
      <c r="A58" s="36" t="s">
        <v>459</v>
      </c>
      <c r="B58" s="37">
        <f>MROUND(B127, 7)</f>
        <v>0</v>
      </c>
      <c r="C58" s="37">
        <f>CEILING(C127, 7)</f>
        <v>0</v>
      </c>
      <c r="D58" s="87" t="str">
        <f>IF((OR(AND($B$47&lt;=6,$B$48&lt;2.4),(AND($B$47=7,$B$48&lt;2.8)))),A143,"")</f>
        <v>This product is not recommended at the prescribed weekly dose as the single use syringes restrict the weekly dose to a minimum of 2.4mg (6 inj/week) and 2.8mg (7 inj/week)</v>
      </c>
    </row>
    <row r="59" spans="1:12" s="2" customFormat="1" ht="18" customHeight="1" x14ac:dyDescent="0.25">
      <c r="A59" s="147" t="s">
        <v>438</v>
      </c>
      <c r="B59" s="148">
        <f>MROUND(B128, 7)</f>
        <v>0</v>
      </c>
      <c r="C59" s="148">
        <f>CEILING(C128, 7)</f>
        <v>0</v>
      </c>
      <c r="D59" s="87" t="str">
        <f>IF((OR(AND($B$47&lt;=6,$B$48&lt;3.6),(AND($B$47=7,$B$48&lt;4.2)))),A144,"")</f>
        <v>This product is not recommended at the prescribed weekly dose as the single use syringes restrict the weekly dose to a minimum of 3.6mg (6 inj/week) and 4.2mg (7 inj/week)</v>
      </c>
    </row>
    <row r="60" spans="1:12" s="2" customFormat="1" ht="18" customHeight="1" x14ac:dyDescent="0.25">
      <c r="A60" s="36" t="s">
        <v>439</v>
      </c>
      <c r="B60" s="37">
        <f t="shared" ref="B60:B66" si="0">MROUND(B129, 7)</f>
        <v>0</v>
      </c>
      <c r="C60" s="37">
        <f t="shared" ref="C60:C66" si="1">CEILING(C129, 7)</f>
        <v>0</v>
      </c>
      <c r="D60" s="87" t="str">
        <f>IF((OR(AND($B$47&lt;=6,$B$48&lt;4.8),(AND($B$47=7,$B$48&lt;5.6)))),A145,"")</f>
        <v>This product is not recommended at the prescribed weekly dose as the single use syringes restrict the weekly dose to a minimum of 4.8mg (6 inj/week) and 5.6mg (7 inj/week)</v>
      </c>
    </row>
    <row r="61" spans="1:12" s="2" customFormat="1" ht="18" customHeight="1" x14ac:dyDescent="0.25">
      <c r="A61" s="147" t="s">
        <v>440</v>
      </c>
      <c r="B61" s="148">
        <f t="shared" si="0"/>
        <v>0</v>
      </c>
      <c r="C61" s="148">
        <f t="shared" si="1"/>
        <v>0</v>
      </c>
      <c r="D61" s="87" t="str">
        <f>IF((OR(AND($B$47&lt;=6,$B$48&lt;6),(AND($B$47=7,$B$48&lt;7)))),A146,"")</f>
        <v>This product is not recommended at the prescribed weekly dose as the single use syringes restrict the weekly dose to a minimum of 6mg (6 inj/week) and 7mg (7 inj/week)</v>
      </c>
    </row>
    <row r="62" spans="1:12" s="2" customFormat="1" ht="18" customHeight="1" x14ac:dyDescent="0.25">
      <c r="A62" s="36" t="s">
        <v>441</v>
      </c>
      <c r="B62" s="37">
        <f t="shared" si="0"/>
        <v>0</v>
      </c>
      <c r="C62" s="37">
        <f t="shared" si="1"/>
        <v>0</v>
      </c>
      <c r="D62" s="87" t="str">
        <f>IF((OR(AND($B$47&lt;=6,$B$48&lt;7.2),(AND($B$47=7,$B$48&lt;8.4)))),A147,"")</f>
        <v>This product is not recommended at the prescribed weekly dose as the single use syringes restrict the weekly dose to a minimum of 7.2mg (6 inj/week) and 8.4mg (7 inj/week)</v>
      </c>
    </row>
    <row r="63" spans="1:12" s="2" customFormat="1" ht="18" customHeight="1" x14ac:dyDescent="0.25">
      <c r="A63" s="147" t="s">
        <v>442</v>
      </c>
      <c r="B63" s="148">
        <f t="shared" si="0"/>
        <v>0</v>
      </c>
      <c r="C63" s="148">
        <f t="shared" si="1"/>
        <v>0</v>
      </c>
      <c r="D63" s="87" t="str">
        <f>IF((OR(AND($B$47&lt;=6,$B$48&lt;8.4),(AND($B$47=7,$B$48&lt;9.8)))),A148,"")</f>
        <v>This product is not recommended at the prescribed weekly dose as the single use syringes restrict the weekly dose to a minimum of 8.4mg (6 inj/week) and 9.8mg (7 inj/week)</v>
      </c>
    </row>
    <row r="64" spans="1:12" s="2" customFormat="1" ht="18" customHeight="1" x14ac:dyDescent="0.25">
      <c r="A64" s="36" t="s">
        <v>443</v>
      </c>
      <c r="B64" s="37">
        <f t="shared" si="0"/>
        <v>0</v>
      </c>
      <c r="C64" s="37">
        <f t="shared" si="1"/>
        <v>0</v>
      </c>
      <c r="D64" s="87" t="str">
        <f>IF((OR(AND($B$47&lt;=6,$B$48&lt;9.6),(AND($B$47=7,$B$48&lt;11.2)))),A149,"")</f>
        <v>This product is not recommended at the prescribed weekly dose as the single use syringes restrict the weekly dose to a minimum of 9.6mg (6 inj/week) and 11.2mg (7 inj/week)</v>
      </c>
    </row>
    <row r="65" spans="1:4" s="2" customFormat="1" ht="18" customHeight="1" x14ac:dyDescent="0.25">
      <c r="A65" s="147" t="s">
        <v>444</v>
      </c>
      <c r="B65" s="148">
        <f t="shared" si="0"/>
        <v>0</v>
      </c>
      <c r="C65" s="148">
        <f t="shared" si="1"/>
        <v>0</v>
      </c>
      <c r="D65" s="87" t="str">
        <f>IF((OR(AND($B$47&lt;=6,$B$48&lt;10.8),(AND($B$47=7,$B$48&lt;12.6)))),A150,"")</f>
        <v>This product is not recommended at the prescribed weekly dose as the single use syringes restrict the weekly dose to a minimum of 10.8mg (6 inj/week) and 12.6mg (7 inj/week)</v>
      </c>
    </row>
    <row r="66" spans="1:4" s="2" customFormat="1" ht="18" customHeight="1" x14ac:dyDescent="0.25">
      <c r="A66" s="246" t="s">
        <v>445</v>
      </c>
      <c r="B66" s="247">
        <f t="shared" si="0"/>
        <v>0</v>
      </c>
      <c r="C66" s="247">
        <f t="shared" si="1"/>
        <v>0</v>
      </c>
      <c r="D66" s="87" t="str">
        <f>IF((OR(AND($B$47&lt;=6,$B$48&lt;12),(AND($B$47=7,$B$48&lt;14)))),A151,"")</f>
        <v>This product is not recommended at the prescribed weekly dose as the single use syringes restrict the weekly dose to a minimum of 12mg (6 inj/week) and 14mg (7 inj/week)</v>
      </c>
    </row>
    <row r="67" spans="1:4" s="2" customFormat="1" ht="67.5" x14ac:dyDescent="0.25">
      <c r="A67" s="149" t="s">
        <v>451</v>
      </c>
      <c r="B67" s="248">
        <f>ROUNDUP(((B48*16)/6), 0)</f>
        <v>0</v>
      </c>
      <c r="C67" s="150">
        <f>ROUNDUP(((B48*13)/6), 0)</f>
        <v>0</v>
      </c>
      <c r="D67" s="145" t="str">
        <f>IF(B48&lt;1.5,A140,"")</f>
        <v>This product is not recommended at the prescribed weekly dose as the cartridge contents will not be completed within the 28 days shelf -life</v>
      </c>
    </row>
    <row r="68" spans="1:4" s="2" customFormat="1" ht="67.5" x14ac:dyDescent="0.25">
      <c r="A68" s="143" t="s">
        <v>452</v>
      </c>
      <c r="B68" s="144">
        <f>ROUNDUP(((B48*16)/12), 0)</f>
        <v>0</v>
      </c>
      <c r="C68" s="144">
        <f>ROUNDUP(((B48*13)/12), 0)</f>
        <v>0</v>
      </c>
      <c r="D68" s="145" t="str">
        <f>IF(B48&lt;3,A140,"")</f>
        <v>This product is not recommended at the prescribed weekly dose as the cartridge contents will not be completed within the 28 days shelf -life</v>
      </c>
    </row>
    <row r="69" spans="1:4" s="2" customFormat="1" ht="67.5" x14ac:dyDescent="0.25">
      <c r="A69" s="12" t="s">
        <v>453</v>
      </c>
      <c r="B69" s="151">
        <f>ROUNDUP(((B48*16)/24), 0)</f>
        <v>0</v>
      </c>
      <c r="C69" s="151">
        <f>ROUNDUP(((B48*13)/24), 0)</f>
        <v>0</v>
      </c>
      <c r="D69" s="145" t="str">
        <f>IF(B48&lt;6,A140,"")</f>
        <v>This product is not recommended at the prescribed weekly dose as the cartridge contents will not be completed within the 28 days shelf -life</v>
      </c>
    </row>
    <row r="70" spans="1:4" s="2" customFormat="1" ht="18" customHeight="1" x14ac:dyDescent="0.25">
      <c r="A70" s="143" t="s">
        <v>27</v>
      </c>
      <c r="B70" s="144">
        <f>ROUNDUP(((B48*16)/5), 0)</f>
        <v>0</v>
      </c>
      <c r="C70" s="144">
        <f>ROUNDUP(((B48*13)/5), 0)</f>
        <v>0</v>
      </c>
      <c r="D70" s="87" t="str">
        <f>IF(B48&lt;1.25,A140,"")</f>
        <v>This product is not recommended at the prescribed weekly dose as the cartridge contents will not be completed within the 28 days shelf -life</v>
      </c>
    </row>
    <row r="71" spans="1:4" s="2" customFormat="1" ht="18" customHeight="1" x14ac:dyDescent="0.25">
      <c r="A71" s="147" t="s">
        <v>28</v>
      </c>
      <c r="B71" s="148">
        <f>ROUNDUP(((B48*16)/10), 0)</f>
        <v>0</v>
      </c>
      <c r="C71" s="148">
        <f>ROUNDUP(((B48*13)/10), 0)</f>
        <v>0</v>
      </c>
      <c r="D71" s="87" t="str">
        <f>IF(B48&lt;2.5,A140,"")</f>
        <v>This product is not recommended at the prescribed weekly dose as the cartridge contents will not be completed within the 28 days shelf -life</v>
      </c>
    </row>
    <row r="72" spans="1:4" s="2" customFormat="1" ht="18" customHeight="1" x14ac:dyDescent="0.25">
      <c r="A72" s="143" t="s">
        <v>29</v>
      </c>
      <c r="B72" s="144">
        <f>ROUNDUP(((B48*16)/15), 0)</f>
        <v>0</v>
      </c>
      <c r="C72" s="144">
        <f>ROUNDUP(((B48*13)/15), 0)</f>
        <v>0</v>
      </c>
      <c r="D72" s="87" t="str">
        <f>IF(B48&lt;3.75,A140,"")</f>
        <v>This product is not recommended at the prescribed weekly dose as the cartridge contents will not be completed within the 28 days shelf -life</v>
      </c>
    </row>
    <row r="73" spans="1:4" s="2" customFormat="1" ht="18" customHeight="1" x14ac:dyDescent="0.25">
      <c r="A73" s="147" t="s">
        <v>30</v>
      </c>
      <c r="B73" s="148">
        <f>ROUNDUP(((B48*16)/5), 0)</f>
        <v>0</v>
      </c>
      <c r="C73" s="148">
        <f>ROUNDUP(((B48*13)/5), 0)</f>
        <v>0</v>
      </c>
      <c r="D73" s="87" t="str">
        <f>IF(B48&lt;1.25,A140,"")</f>
        <v>This product is not recommended at the prescribed weekly dose as the cartridge contents will not be completed within the 28 days shelf -life</v>
      </c>
    </row>
    <row r="74" spans="1:4" s="2" customFormat="1" ht="18" customHeight="1" x14ac:dyDescent="0.25">
      <c r="A74" s="143" t="s">
        <v>31</v>
      </c>
      <c r="B74" s="144">
        <f>ROUNDUP(((B48*16)/10), 0)</f>
        <v>0</v>
      </c>
      <c r="C74" s="144">
        <f>ROUNDUP(((B48*13)/10), 0)</f>
        <v>0</v>
      </c>
      <c r="D74" s="87" t="str">
        <f>IF(B48&lt;2.5,A140,"")</f>
        <v>This product is not recommended at the prescribed weekly dose as the cartridge contents will not be completed within the 28 days shelf -life</v>
      </c>
    </row>
    <row r="75" spans="1:4" s="2" customFormat="1" ht="18" customHeight="1" x14ac:dyDescent="0.25">
      <c r="A75" s="147" t="s">
        <v>32</v>
      </c>
      <c r="B75" s="148">
        <f>ROUNDUP(((B48*16)/15), 0)</f>
        <v>0</v>
      </c>
      <c r="C75" s="148">
        <f>ROUNDUP(((B48*13)/15), 0)</f>
        <v>0</v>
      </c>
      <c r="D75" s="87" t="str">
        <f>IF(B48&lt;3.75,A140,"")</f>
        <v>This product is not recommended at the prescribed weekly dose as the cartridge contents will not be completed within the 28 days shelf -life</v>
      </c>
    </row>
    <row r="76" spans="1:4" s="2" customFormat="1" ht="18" customHeight="1" x14ac:dyDescent="0.25">
      <c r="A76" s="36" t="s">
        <v>33</v>
      </c>
      <c r="B76" s="37">
        <f>ROUNDUP(((B48*16)/10), 0)</f>
        <v>0</v>
      </c>
      <c r="C76" s="37">
        <f>ROUNDUP(((B48*13)/10), 0)</f>
        <v>0</v>
      </c>
      <c r="D76" s="87" t="str">
        <f>IF(B48&lt;2.5,A140,"")</f>
        <v>This product is not recommended at the prescribed weekly dose as the cartridge contents will not be completed within the 28 days shelf -life</v>
      </c>
    </row>
    <row r="77" spans="1:4" s="2" customFormat="1" ht="42" x14ac:dyDescent="0.25">
      <c r="A77" s="12" t="s">
        <v>456</v>
      </c>
      <c r="B77" s="151">
        <f>ROUNDUP(((B48*16)/5), 0)</f>
        <v>0</v>
      </c>
      <c r="C77" s="151">
        <f>ROUNDUP(((B48*13)/5), 0)</f>
        <v>0</v>
      </c>
      <c r="D77" s="145" t="str">
        <f>IF(B48&lt;1.67,A141,"")</f>
        <v>This product is not recommended at the prescribed weekly dose as the cartridge contents will not be completed within the 21 days shelf -life</v>
      </c>
    </row>
    <row r="78" spans="1:4" s="2" customFormat="1" ht="42" x14ac:dyDescent="0.25">
      <c r="A78" s="143" t="s">
        <v>457</v>
      </c>
      <c r="B78" s="144">
        <f>ROUNDUP(((B48*16)/10), 0)</f>
        <v>0</v>
      </c>
      <c r="C78" s="144">
        <f>ROUNDUP(((B48*13)/10), 0)</f>
        <v>0</v>
      </c>
      <c r="D78" s="145" t="str">
        <f>IF(B48&lt;2.5,A140,"")</f>
        <v>This product is not recommended at the prescribed weekly dose as the cartridge contents will not be completed within the 28 days shelf -life</v>
      </c>
    </row>
    <row r="79" spans="1:4" s="2" customFormat="1" ht="42" x14ac:dyDescent="0.25">
      <c r="A79" s="12" t="s">
        <v>458</v>
      </c>
      <c r="B79" s="151">
        <f>ROUNDUP(((B48*16)/15), 0)</f>
        <v>0</v>
      </c>
      <c r="C79" s="151">
        <f>ROUNDUP(((B48*13)/15), 0)</f>
        <v>0</v>
      </c>
      <c r="D79" s="145" t="str">
        <f>IF(B48&lt;3.75,A140,"")</f>
        <v>This product is not recommended at the prescribed weekly dose as the cartridge contents will not be completed within the 28 days shelf -life</v>
      </c>
    </row>
    <row r="80" spans="1:4" s="2" customFormat="1" ht="93" x14ac:dyDescent="0.25">
      <c r="A80" s="143" t="s">
        <v>465</v>
      </c>
      <c r="B80" s="144">
        <f>ROUNDUP(((B48*16)/6), 0)</f>
        <v>0</v>
      </c>
      <c r="C80" s="144">
        <f>ROUNDUP(((B48*13)/6), 0)</f>
        <v>0</v>
      </c>
      <c r="D80" s="145" t="str">
        <f>IF(B48&lt;1.5,A140,"")</f>
        <v>This product is not recommended at the prescribed weekly dose as the cartridge contents will not be completed within the 28 days shelf -life</v>
      </c>
    </row>
    <row r="81" spans="1:9" s="2" customFormat="1" ht="93" x14ac:dyDescent="0.25">
      <c r="A81" s="12" t="s">
        <v>466</v>
      </c>
      <c r="B81" s="151">
        <f>ROUNDUP(((B48*16)/12), 0)</f>
        <v>0</v>
      </c>
      <c r="C81" s="151">
        <f>ROUNDUP(((B48*13)/12), 0)</f>
        <v>0</v>
      </c>
      <c r="D81" s="145" t="str">
        <f>IF(B48&lt;3,A140,"")</f>
        <v>This product is not recommended at the prescribed weekly dose as the cartridge contents will not be completed within the 28 days shelf -life</v>
      </c>
    </row>
    <row r="82" spans="1:9" s="2" customFormat="1" ht="93" x14ac:dyDescent="0.25">
      <c r="A82" s="143" t="s">
        <v>467</v>
      </c>
      <c r="B82" s="144">
        <f>ROUNDUP(((B48*16)/20), 0)</f>
        <v>0</v>
      </c>
      <c r="C82" s="144">
        <f>ROUNDUP(((B48*13)/20), 0)</f>
        <v>0</v>
      </c>
      <c r="D82" s="145" t="str">
        <f>IF(B48&lt;5,A140,"")</f>
        <v>This product is not recommended at the prescribed weekly dose as the cartridge contents will not be completed within the 28 days shelf -life</v>
      </c>
    </row>
    <row r="83" spans="1:9" s="2" customFormat="1" ht="42" x14ac:dyDescent="0.25">
      <c r="A83" s="149" t="s">
        <v>575</v>
      </c>
      <c r="B83" s="248">
        <f>ROUNDUP(((B48*16)/5), 0)</f>
        <v>0</v>
      </c>
      <c r="C83" s="150">
        <f>ROUNDUP(((B48*13)/5), 0)</f>
        <v>0</v>
      </c>
      <c r="D83" s="145" t="str">
        <f>IF(B48&lt;1.67,A141,"")</f>
        <v>This product is not recommended at the prescribed weekly dose as the cartridge contents will not be completed within the 21 days shelf -life</v>
      </c>
    </row>
    <row r="84" spans="1:9" s="2" customFormat="1" ht="42" x14ac:dyDescent="0.25">
      <c r="A84" s="143" t="s">
        <v>572</v>
      </c>
      <c r="B84" s="144">
        <f>ROUNDUP(((B48*16)/10), 0)</f>
        <v>0</v>
      </c>
      <c r="C84" s="144">
        <f>ROUNDUP(((B48*13)/10), 0)</f>
        <v>0</v>
      </c>
      <c r="D84" s="145" t="str">
        <f>IF(B48&lt;2.5,A140,"")</f>
        <v>This product is not recommended at the prescribed weekly dose as the cartridge contents will not be completed within the 28 days shelf -life</v>
      </c>
    </row>
    <row r="85" spans="1:9" s="2" customFormat="1" ht="54.75" x14ac:dyDescent="0.25">
      <c r="A85" s="12" t="s">
        <v>454</v>
      </c>
      <c r="B85" s="151">
        <f>ROUNDUP(((B48*16)/4), 0)</f>
        <v>0</v>
      </c>
      <c r="C85" s="151">
        <f>ROUNDUP(((B48*13)/4), 0)</f>
        <v>0</v>
      </c>
      <c r="D85" s="145" t="str">
        <f>IF(B48&lt;2.5,A142,"")</f>
        <v>This product is not recommended at the prescribed weekly dose as the cartridge contents will not be completed within the 14 days shelf -life</v>
      </c>
    </row>
    <row r="86" spans="1:9" s="2" customFormat="1" ht="54.75" x14ac:dyDescent="0.25">
      <c r="A86" s="143" t="s">
        <v>455</v>
      </c>
      <c r="B86" s="144">
        <f>ROUNDUP(((B48*16)/10), 0)</f>
        <v>0</v>
      </c>
      <c r="C86" s="144">
        <f>ROUNDUP(((B48*13)/10), 0)</f>
        <v>0</v>
      </c>
      <c r="D86" s="145" t="str">
        <f>IF(B48&lt;2.5,A140,"")</f>
        <v>This product is not recommended at the prescribed weekly dose as the cartridge contents will not be completed within the 28 days shelf -life</v>
      </c>
    </row>
    <row r="87" spans="1:9" x14ac:dyDescent="0.25">
      <c r="A87" s="54"/>
      <c r="B87" s="54"/>
      <c r="C87" s="54"/>
      <c r="D87" s="54"/>
      <c r="E87" s="54"/>
      <c r="F87" s="54"/>
      <c r="G87" s="54"/>
      <c r="H87" s="54"/>
      <c r="I87" s="54"/>
    </row>
    <row r="89" spans="1:9" ht="15.75" x14ac:dyDescent="0.25">
      <c r="A89" s="56" t="s">
        <v>376</v>
      </c>
      <c r="B89" s="118"/>
      <c r="C89" s="118"/>
      <c r="D89" s="119"/>
    </row>
    <row r="90" spans="1:9" ht="47.25" x14ac:dyDescent="0.25">
      <c r="A90" s="115" t="s">
        <v>34</v>
      </c>
      <c r="B90" s="117" t="s">
        <v>382</v>
      </c>
      <c r="C90" s="5" t="s">
        <v>375</v>
      </c>
      <c r="D90" s="5" t="s">
        <v>383</v>
      </c>
    </row>
    <row r="91" spans="1:9" ht="15.75" x14ac:dyDescent="0.25">
      <c r="A91" s="116" t="s">
        <v>14</v>
      </c>
      <c r="B91" s="44" t="s">
        <v>366</v>
      </c>
      <c r="C91" s="44" t="s">
        <v>428</v>
      </c>
      <c r="D91" s="44" t="s">
        <v>418</v>
      </c>
    </row>
    <row r="92" spans="1:9" ht="15.75" x14ac:dyDescent="0.25">
      <c r="A92" s="153" t="s">
        <v>15</v>
      </c>
      <c r="B92" s="53" t="s">
        <v>365</v>
      </c>
      <c r="C92" s="53" t="s">
        <v>427</v>
      </c>
      <c r="D92" s="53" t="s">
        <v>417</v>
      </c>
    </row>
    <row r="93" spans="1:9" ht="15.75" x14ac:dyDescent="0.25">
      <c r="A93" s="116" t="s">
        <v>461</v>
      </c>
      <c r="B93" s="44" t="s">
        <v>463</v>
      </c>
      <c r="C93" s="44" t="s">
        <v>462</v>
      </c>
      <c r="D93" s="44" t="s">
        <v>464</v>
      </c>
    </row>
    <row r="94" spans="1:9" ht="15.75" x14ac:dyDescent="0.25">
      <c r="A94" s="153" t="s">
        <v>16</v>
      </c>
      <c r="B94" s="53" t="s">
        <v>367</v>
      </c>
      <c r="C94" s="53" t="s">
        <v>429</v>
      </c>
      <c r="D94" s="53" t="s">
        <v>419</v>
      </c>
    </row>
    <row r="95" spans="1:9" ht="15.75" x14ac:dyDescent="0.25">
      <c r="A95" s="116" t="s">
        <v>17</v>
      </c>
      <c r="B95" s="44" t="s">
        <v>368</v>
      </c>
      <c r="C95" s="44" t="s">
        <v>430</v>
      </c>
      <c r="D95" s="44" t="s">
        <v>420</v>
      </c>
    </row>
    <row r="96" spans="1:9" ht="15.75" x14ac:dyDescent="0.25">
      <c r="A96" s="153" t="s">
        <v>18</v>
      </c>
      <c r="B96" s="53" t="s">
        <v>369</v>
      </c>
      <c r="C96" s="53" t="s">
        <v>431</v>
      </c>
      <c r="D96" s="53" t="s">
        <v>421</v>
      </c>
    </row>
    <row r="97" spans="1:4" ht="15.75" x14ac:dyDescent="0.25">
      <c r="A97" s="116" t="s">
        <v>19</v>
      </c>
      <c r="B97" s="44" t="s">
        <v>370</v>
      </c>
      <c r="C97" s="44" t="s">
        <v>432</v>
      </c>
      <c r="D97" s="44" t="s">
        <v>422</v>
      </c>
    </row>
    <row r="98" spans="1:4" ht="15.75" x14ac:dyDescent="0.25">
      <c r="A98" s="153" t="s">
        <v>20</v>
      </c>
      <c r="B98" s="53" t="s">
        <v>371</v>
      </c>
      <c r="C98" s="53" t="s">
        <v>433</v>
      </c>
      <c r="D98" s="53" t="s">
        <v>423</v>
      </c>
    </row>
    <row r="99" spans="1:4" ht="15.75" x14ac:dyDescent="0.25">
      <c r="A99" s="116" t="s">
        <v>21</v>
      </c>
      <c r="B99" s="44" t="s">
        <v>372</v>
      </c>
      <c r="C99" s="44" t="s">
        <v>434</v>
      </c>
      <c r="D99" s="44" t="s">
        <v>424</v>
      </c>
    </row>
    <row r="100" spans="1:4" ht="15.75" x14ac:dyDescent="0.25">
      <c r="A100" s="153" t="s">
        <v>22</v>
      </c>
      <c r="B100" s="53" t="s">
        <v>373</v>
      </c>
      <c r="C100" s="53" t="s">
        <v>435</v>
      </c>
      <c r="D100" s="53" t="s">
        <v>425</v>
      </c>
    </row>
    <row r="101" spans="1:4" ht="15.75" x14ac:dyDescent="0.25">
      <c r="A101" s="116" t="s">
        <v>23</v>
      </c>
      <c r="B101" s="44" t="s">
        <v>374</v>
      </c>
      <c r="C101" s="44" t="s">
        <v>436</v>
      </c>
      <c r="D101" s="44" t="s">
        <v>426</v>
      </c>
    </row>
    <row r="102" spans="1:4" ht="15.75" x14ac:dyDescent="0.25">
      <c r="A102" s="153" t="s">
        <v>24</v>
      </c>
      <c r="B102" s="53" t="s">
        <v>362</v>
      </c>
      <c r="C102" s="53" t="s">
        <v>400</v>
      </c>
      <c r="D102" s="53" t="s">
        <v>407</v>
      </c>
    </row>
    <row r="103" spans="1:4" ht="15.75" x14ac:dyDescent="0.25">
      <c r="A103" s="116" t="s">
        <v>25</v>
      </c>
      <c r="B103" s="44" t="s">
        <v>363</v>
      </c>
      <c r="C103" s="44" t="s">
        <v>401</v>
      </c>
      <c r="D103" s="44" t="s">
        <v>408</v>
      </c>
    </row>
    <row r="104" spans="1:4" ht="15.75" x14ac:dyDescent="0.25">
      <c r="A104" s="153" t="s">
        <v>26</v>
      </c>
      <c r="B104" s="53" t="s">
        <v>364</v>
      </c>
      <c r="C104" s="53" t="s">
        <v>402</v>
      </c>
      <c r="D104" s="53" t="s">
        <v>409</v>
      </c>
    </row>
    <row r="105" spans="1:4" ht="15.75" x14ac:dyDescent="0.25">
      <c r="A105" s="116" t="s">
        <v>27</v>
      </c>
      <c r="B105" s="44" t="s">
        <v>356</v>
      </c>
      <c r="C105" s="44" t="s">
        <v>394</v>
      </c>
      <c r="D105" s="44" t="s">
        <v>410</v>
      </c>
    </row>
    <row r="106" spans="1:4" ht="15.75" x14ac:dyDescent="0.25">
      <c r="A106" s="153" t="s">
        <v>28</v>
      </c>
      <c r="B106" s="53" t="s">
        <v>358</v>
      </c>
      <c r="C106" s="53" t="s">
        <v>395</v>
      </c>
      <c r="D106" s="53" t="s">
        <v>412</v>
      </c>
    </row>
    <row r="107" spans="1:4" ht="15.75" x14ac:dyDescent="0.25">
      <c r="A107" s="116" t="s">
        <v>29</v>
      </c>
      <c r="B107" s="44" t="s">
        <v>361</v>
      </c>
      <c r="C107" s="44" t="s">
        <v>399</v>
      </c>
      <c r="D107" s="44" t="s">
        <v>415</v>
      </c>
    </row>
    <row r="108" spans="1:4" ht="15.75" x14ac:dyDescent="0.25">
      <c r="A108" s="153" t="s">
        <v>30</v>
      </c>
      <c r="B108" s="53" t="s">
        <v>355</v>
      </c>
      <c r="C108" s="53" t="s">
        <v>393</v>
      </c>
      <c r="D108" s="53" t="s">
        <v>411</v>
      </c>
    </row>
    <row r="109" spans="1:4" ht="15.75" x14ac:dyDescent="0.25">
      <c r="A109" s="116" t="s">
        <v>31</v>
      </c>
      <c r="B109" s="44" t="s">
        <v>357</v>
      </c>
      <c r="C109" s="44" t="s">
        <v>396</v>
      </c>
      <c r="D109" s="44" t="s">
        <v>413</v>
      </c>
    </row>
    <row r="110" spans="1:4" ht="15.75" x14ac:dyDescent="0.25">
      <c r="A110" s="153" t="s">
        <v>32</v>
      </c>
      <c r="B110" s="53" t="s">
        <v>360</v>
      </c>
      <c r="C110" s="53" t="s">
        <v>398</v>
      </c>
      <c r="D110" s="53" t="s">
        <v>416</v>
      </c>
    </row>
    <row r="111" spans="1:4" ht="15.75" x14ac:dyDescent="0.25">
      <c r="A111" s="116" t="s">
        <v>33</v>
      </c>
      <c r="B111" s="44" t="s">
        <v>359</v>
      </c>
      <c r="C111" s="44" t="s">
        <v>397</v>
      </c>
      <c r="D111" s="44" t="s">
        <v>414</v>
      </c>
    </row>
    <row r="112" spans="1:4" ht="15.75" x14ac:dyDescent="0.25">
      <c r="A112" s="153" t="s">
        <v>43</v>
      </c>
      <c r="B112" s="53" t="s">
        <v>346</v>
      </c>
      <c r="C112" s="53" t="s">
        <v>389</v>
      </c>
      <c r="D112" s="53" t="s">
        <v>403</v>
      </c>
    </row>
    <row r="113" spans="1:4" ht="15.75" x14ac:dyDescent="0.25">
      <c r="A113" s="116" t="s">
        <v>44</v>
      </c>
      <c r="B113" s="44" t="s">
        <v>347</v>
      </c>
      <c r="C113" s="44" t="s">
        <v>391</v>
      </c>
      <c r="D113" s="44" t="s">
        <v>405</v>
      </c>
    </row>
    <row r="114" spans="1:4" ht="15.75" x14ac:dyDescent="0.25">
      <c r="A114" s="153" t="s">
        <v>45</v>
      </c>
      <c r="B114" s="53" t="s">
        <v>349</v>
      </c>
      <c r="C114" s="53" t="s">
        <v>392</v>
      </c>
      <c r="D114" s="53" t="s">
        <v>406</v>
      </c>
    </row>
    <row r="115" spans="1:4" ht="15.75" x14ac:dyDescent="0.25">
      <c r="A115" s="116" t="s">
        <v>35</v>
      </c>
      <c r="B115" s="44" t="s">
        <v>351</v>
      </c>
      <c r="C115" s="44" t="s">
        <v>378</v>
      </c>
      <c r="D115" s="44" t="s">
        <v>385</v>
      </c>
    </row>
    <row r="116" spans="1:4" ht="15.75" x14ac:dyDescent="0.25">
      <c r="A116" s="153" t="s">
        <v>36</v>
      </c>
      <c r="B116" s="53" t="s">
        <v>353</v>
      </c>
      <c r="C116" s="53" t="s">
        <v>380</v>
      </c>
      <c r="D116" s="53" t="s">
        <v>387</v>
      </c>
    </row>
    <row r="117" spans="1:4" ht="15.75" x14ac:dyDescent="0.25">
      <c r="A117" s="116" t="s">
        <v>37</v>
      </c>
      <c r="B117" s="44" t="s">
        <v>354</v>
      </c>
      <c r="C117" s="44" t="s">
        <v>381</v>
      </c>
      <c r="D117" s="44" t="s">
        <v>388</v>
      </c>
    </row>
    <row r="118" spans="1:4" ht="15.75" x14ac:dyDescent="0.25">
      <c r="A118" s="153" t="s">
        <v>576</v>
      </c>
      <c r="B118" s="53" t="s">
        <v>577</v>
      </c>
      <c r="C118" s="53" t="s">
        <v>578</v>
      </c>
      <c r="D118" s="53" t="s">
        <v>579</v>
      </c>
    </row>
    <row r="119" spans="1:4" ht="15.75" x14ac:dyDescent="0.25">
      <c r="A119" s="116" t="s">
        <v>573</v>
      </c>
      <c r="B119" s="44" t="s">
        <v>348</v>
      </c>
      <c r="C119" s="44" t="s">
        <v>390</v>
      </c>
      <c r="D119" s="44" t="s">
        <v>404</v>
      </c>
    </row>
    <row r="120" spans="1:4" ht="15.75" x14ac:dyDescent="0.25">
      <c r="A120" s="153" t="s">
        <v>38</v>
      </c>
      <c r="B120" s="53" t="s">
        <v>350</v>
      </c>
      <c r="C120" s="53" t="s">
        <v>377</v>
      </c>
      <c r="D120" s="53" t="s">
        <v>384</v>
      </c>
    </row>
    <row r="121" spans="1:4" ht="15.75" x14ac:dyDescent="0.25">
      <c r="A121" s="116" t="s">
        <v>39</v>
      </c>
      <c r="B121" s="44" t="s">
        <v>352</v>
      </c>
      <c r="C121" s="44" t="s">
        <v>379</v>
      </c>
      <c r="D121" s="44" t="s">
        <v>386</v>
      </c>
    </row>
    <row r="122" spans="1:4" ht="15.75" x14ac:dyDescent="0.25">
      <c r="A122" s="15"/>
    </row>
    <row r="123" spans="1:4" ht="15.75" x14ac:dyDescent="0.25">
      <c r="A123" s="15"/>
    </row>
    <row r="124" spans="1:4" ht="15.75" x14ac:dyDescent="0.25">
      <c r="A124" s="15"/>
    </row>
    <row r="125" spans="1:4" ht="15.75" x14ac:dyDescent="0.25">
      <c r="A125" s="15"/>
    </row>
    <row r="126" spans="1:4" ht="63" hidden="1" customHeight="1" x14ac:dyDescent="0.25">
      <c r="A126" s="139" t="s">
        <v>34</v>
      </c>
      <c r="B126" s="140" t="s">
        <v>447</v>
      </c>
      <c r="C126" s="140" t="s">
        <v>448</v>
      </c>
    </row>
    <row r="127" spans="1:4" ht="15.75" hidden="1" customHeight="1" x14ac:dyDescent="0.25">
      <c r="A127" s="146" t="s">
        <v>459</v>
      </c>
      <c r="B127" s="8">
        <f>ROUNDUP(((B48*16)/0.4), 0)</f>
        <v>0</v>
      </c>
      <c r="C127" s="8">
        <f>ROUNDUP(((B48*13)/0.4), 0)</f>
        <v>0</v>
      </c>
    </row>
    <row r="128" spans="1:4" ht="15.75" hidden="1" customHeight="1" x14ac:dyDescent="0.25">
      <c r="A128" s="1" t="s">
        <v>438</v>
      </c>
      <c r="B128" s="8">
        <f>ROUNDUP(((B48*16)/0.6), 0)</f>
        <v>0</v>
      </c>
      <c r="C128" s="8">
        <f>ROUNDUP(((B48*13)/0.6), 0)</f>
        <v>0</v>
      </c>
    </row>
    <row r="129" spans="1:3" ht="15.75" hidden="1" customHeight="1" x14ac:dyDescent="0.25">
      <c r="A129" s="36" t="s">
        <v>439</v>
      </c>
      <c r="B129" s="37">
        <f>ROUNDUP(((B48*16)/0.8), 0)</f>
        <v>0</v>
      </c>
      <c r="C129" s="37">
        <f>ROUNDUP(((B48*13)/0.8), 0)</f>
        <v>0</v>
      </c>
    </row>
    <row r="130" spans="1:3" ht="15.75" hidden="1" customHeight="1" x14ac:dyDescent="0.25">
      <c r="A130" s="1" t="s">
        <v>440</v>
      </c>
      <c r="B130" s="8">
        <f>ROUNDUP(((B48*16)/1), 0)</f>
        <v>0</v>
      </c>
      <c r="C130" s="8">
        <f>ROUNDUP(((B48*13)/1), 0)</f>
        <v>0</v>
      </c>
    </row>
    <row r="131" spans="1:3" ht="15.75" hidden="1" customHeight="1" x14ac:dyDescent="0.25">
      <c r="A131" s="36" t="s">
        <v>441</v>
      </c>
      <c r="B131" s="37">
        <f>ROUNDUP(((B48*16)/1.2), 0)</f>
        <v>0</v>
      </c>
      <c r="C131" s="37">
        <f>ROUNDUP(((B48*13)/1.2), 0)</f>
        <v>0</v>
      </c>
    </row>
    <row r="132" spans="1:3" ht="15.75" hidden="1" customHeight="1" x14ac:dyDescent="0.25">
      <c r="A132" s="1" t="s">
        <v>442</v>
      </c>
      <c r="B132" s="8">
        <f>ROUNDUP(((B48*16)/1.4), 0)</f>
        <v>0</v>
      </c>
      <c r="C132" s="8">
        <f>ROUNDUP(((B48*13)/1.4), 0)</f>
        <v>0</v>
      </c>
    </row>
    <row r="133" spans="1:3" ht="15.75" hidden="1" customHeight="1" x14ac:dyDescent="0.25">
      <c r="A133" s="36" t="s">
        <v>443</v>
      </c>
      <c r="B133" s="37">
        <f>ROUNDUP(((B48*16)/1.6), 0)</f>
        <v>0</v>
      </c>
      <c r="C133" s="37">
        <f>ROUNDUP(((B48*13)/1.6), 0)</f>
        <v>0</v>
      </c>
    </row>
    <row r="134" spans="1:3" ht="15.75" hidden="1" customHeight="1" x14ac:dyDescent="0.25">
      <c r="A134" s="1" t="s">
        <v>444</v>
      </c>
      <c r="B134" s="8">
        <f>ROUNDUP(((B48*16)/1.8), 0)</f>
        <v>0</v>
      </c>
      <c r="C134" s="8">
        <f>ROUNDUP(((B48*13)/1.8), 0)</f>
        <v>0</v>
      </c>
    </row>
    <row r="135" spans="1:3" ht="15.75" hidden="1" customHeight="1" x14ac:dyDescent="0.25">
      <c r="A135" s="36" t="s">
        <v>445</v>
      </c>
      <c r="B135" s="37">
        <f>ROUNDUP(((B48*16)/2), 0)</f>
        <v>0</v>
      </c>
      <c r="C135" s="37">
        <f>ROUNDUP(((B48*13)/2), 0)</f>
        <v>0</v>
      </c>
    </row>
    <row r="136" spans="1:3" ht="15" hidden="1" customHeight="1" x14ac:dyDescent="0.25"/>
    <row r="137" spans="1:3" ht="15" hidden="1" customHeight="1" x14ac:dyDescent="0.25"/>
    <row r="138" spans="1:3" ht="15" hidden="1" customHeight="1" x14ac:dyDescent="0.25"/>
    <row r="139" spans="1:3" ht="15" hidden="1" customHeight="1" x14ac:dyDescent="0.25"/>
    <row r="140" spans="1:3" ht="15" hidden="1" customHeight="1" x14ac:dyDescent="0.25">
      <c r="A140" t="s">
        <v>314</v>
      </c>
    </row>
    <row r="141" spans="1:3" ht="15" hidden="1" customHeight="1" x14ac:dyDescent="0.25">
      <c r="A141" t="s">
        <v>313</v>
      </c>
    </row>
    <row r="142" spans="1:3" ht="15" hidden="1" customHeight="1" x14ac:dyDescent="0.25">
      <c r="A142" t="s">
        <v>312</v>
      </c>
    </row>
    <row r="143" spans="1:3" ht="15" hidden="1" customHeight="1" x14ac:dyDescent="0.25">
      <c r="A143" t="s">
        <v>460</v>
      </c>
    </row>
    <row r="144" spans="1:3" ht="15" hidden="1" customHeight="1" x14ac:dyDescent="0.25">
      <c r="A144" t="s">
        <v>334</v>
      </c>
    </row>
    <row r="145" spans="1:1" ht="15" hidden="1" customHeight="1" x14ac:dyDescent="0.25">
      <c r="A145" t="s">
        <v>335</v>
      </c>
    </row>
    <row r="146" spans="1:1" ht="15" hidden="1" customHeight="1" x14ac:dyDescent="0.25">
      <c r="A146" t="s">
        <v>336</v>
      </c>
    </row>
    <row r="147" spans="1:1" ht="15" hidden="1" customHeight="1" x14ac:dyDescent="0.25">
      <c r="A147" t="s">
        <v>337</v>
      </c>
    </row>
    <row r="148" spans="1:1" ht="15" hidden="1" customHeight="1" x14ac:dyDescent="0.25">
      <c r="A148" t="s">
        <v>338</v>
      </c>
    </row>
    <row r="149" spans="1:1" ht="15" hidden="1" customHeight="1" x14ac:dyDescent="0.25">
      <c r="A149" t="s">
        <v>339</v>
      </c>
    </row>
    <row r="150" spans="1:1" ht="15" hidden="1" customHeight="1" x14ac:dyDescent="0.25">
      <c r="A150" t="s">
        <v>340</v>
      </c>
    </row>
    <row r="151" spans="1:1" ht="15" hidden="1" customHeight="1" x14ac:dyDescent="0.25">
      <c r="A151" t="s">
        <v>341</v>
      </c>
    </row>
  </sheetData>
  <sheetProtection algorithmName="SHA-256" hashValue="RSmfijO4pniyKHX9TOfPkBuMdXHzr8r1MlKrkCWfHWo=" saltValue="2jCBgTdCqEfsDJSojdV6IQ==" spinCount="100000" sheet="1" objects="1" scenarios="1"/>
  <conditionalFormatting sqref="A56">
    <cfRule type="expression" dxfId="80" priority="91">
      <formula>$B$48&lt;1.25=TRUE</formula>
    </cfRule>
  </conditionalFormatting>
  <conditionalFormatting sqref="A67">
    <cfRule type="expression" dxfId="79" priority="89">
      <formula>$B$48&lt;1.5=TRUE</formula>
    </cfRule>
  </conditionalFormatting>
  <conditionalFormatting sqref="A69">
    <cfRule type="expression" dxfId="78" priority="87">
      <formula>$B$48&lt;6=TRUE</formula>
    </cfRule>
  </conditionalFormatting>
  <conditionalFormatting sqref="A73">
    <cfRule type="expression" dxfId="77" priority="83">
      <formula>$B$48&lt;1.25=TRUE</formula>
    </cfRule>
  </conditionalFormatting>
  <conditionalFormatting sqref="A71">
    <cfRule type="expression" dxfId="76" priority="85">
      <formula>$B$48&lt;2.5=TRUE</formula>
    </cfRule>
  </conditionalFormatting>
  <conditionalFormatting sqref="A75">
    <cfRule type="expression" dxfId="75" priority="81">
      <formula>$B$48&lt;3.75=TRUE</formula>
    </cfRule>
  </conditionalFormatting>
  <conditionalFormatting sqref="A76">
    <cfRule type="expression" dxfId="74" priority="80">
      <formula>$B$48&lt;2.5=TRUE</formula>
    </cfRule>
  </conditionalFormatting>
  <conditionalFormatting sqref="A84">
    <cfRule type="expression" dxfId="73" priority="78">
      <formula>$B$48&lt;2.5=TRUE</formula>
    </cfRule>
  </conditionalFormatting>
  <conditionalFormatting sqref="A77">
    <cfRule type="expression" dxfId="72" priority="77">
      <formula>$B$48&lt;1.67=TRUE</formula>
    </cfRule>
  </conditionalFormatting>
  <conditionalFormatting sqref="A78">
    <cfRule type="expression" dxfId="71" priority="76">
      <formula>$B$48&lt;2.5=TRUE</formula>
    </cfRule>
  </conditionalFormatting>
  <conditionalFormatting sqref="A79">
    <cfRule type="expression" dxfId="70" priority="75">
      <formula>$B$48&lt;3.75=TRUE</formula>
    </cfRule>
  </conditionalFormatting>
  <conditionalFormatting sqref="A80">
    <cfRule type="expression" dxfId="69" priority="73">
      <formula>$B$48&lt;1.5=TRUE</formula>
    </cfRule>
  </conditionalFormatting>
  <conditionalFormatting sqref="A81">
    <cfRule type="expression" dxfId="68" priority="72">
      <formula>$B$48&lt;3=TRUE</formula>
    </cfRule>
  </conditionalFormatting>
  <conditionalFormatting sqref="A82">
    <cfRule type="expression" dxfId="67" priority="71">
      <formula>$B$48&lt;5=TRUE</formula>
    </cfRule>
  </conditionalFormatting>
  <conditionalFormatting sqref="A85">
    <cfRule type="expression" dxfId="66" priority="70">
      <formula>$B$48&lt;2=TRUE</formula>
    </cfRule>
  </conditionalFormatting>
  <conditionalFormatting sqref="A86">
    <cfRule type="expression" dxfId="65" priority="69">
      <formula>$B$48&lt;2.5=TRUE</formula>
    </cfRule>
  </conditionalFormatting>
  <conditionalFormatting sqref="A59">
    <cfRule type="expression" dxfId="64" priority="65">
      <formula>OR(AND($B$47&lt;=6,$B$48&lt;3.6),(AND($B$47=7,$B$48&lt;4.2)))</formula>
    </cfRule>
  </conditionalFormatting>
  <conditionalFormatting sqref="A60">
    <cfRule type="expression" dxfId="63" priority="64">
      <formula>OR(AND($B$47&lt;=6,$B$48&lt;4.8),(AND($B$47=7,$B$48&lt;5.6)))</formula>
    </cfRule>
  </conditionalFormatting>
  <conditionalFormatting sqref="A61">
    <cfRule type="expression" dxfId="62" priority="63">
      <formula>OR(AND($B$47&lt;=6,$B$48&lt;6),(AND($B$47=7,$B$48&lt;7)))</formula>
    </cfRule>
  </conditionalFormatting>
  <conditionalFormatting sqref="A62">
    <cfRule type="expression" dxfId="61" priority="62">
      <formula>OR(AND($B$47&lt;=6,$B$48&lt;7.2),(AND($B$47=7,$B$48&lt;8.4)))</formula>
    </cfRule>
  </conditionalFormatting>
  <conditionalFormatting sqref="A63">
    <cfRule type="expression" dxfId="60" priority="61">
      <formula>OR(AND($B$47&lt;=6,$B$48&lt;8.4),(AND($B$47=7,$B$48&lt;9.8)))</formula>
    </cfRule>
  </conditionalFormatting>
  <conditionalFormatting sqref="A64">
    <cfRule type="expression" dxfId="59" priority="59">
      <formula>OR(AND($B$47&lt;=6,$B$48&lt;9.6),(AND($B$47=7,$B$48&lt;11.2)))</formula>
    </cfRule>
  </conditionalFormatting>
  <conditionalFormatting sqref="A65">
    <cfRule type="expression" dxfId="58" priority="58">
      <formula>OR(AND($B$47&lt;=6,$B$48&lt;10.8),(AND($B$47=7,$B$48&lt;12.6)))</formula>
    </cfRule>
  </conditionalFormatting>
  <conditionalFormatting sqref="A66">
    <cfRule type="expression" dxfId="57" priority="57">
      <formula>OR(AND($B$47&lt;=6,$B$48&lt;12),(AND($B$47=7,$B$48&lt;14)))</formula>
    </cfRule>
  </conditionalFormatting>
  <conditionalFormatting sqref="D67:D82 D84:D86">
    <cfRule type="expression" priority="55">
      <formula>$B$48&lt;3=TRUE</formula>
    </cfRule>
  </conditionalFormatting>
  <conditionalFormatting sqref="D56:D66">
    <cfRule type="expression" priority="54">
      <formula>$B$48&lt;3=TRUE</formula>
    </cfRule>
  </conditionalFormatting>
  <conditionalFormatting sqref="A122:A125">
    <cfRule type="expression" dxfId="56" priority="29">
      <formula>$B$48&lt;2.5=TRUE</formula>
    </cfRule>
  </conditionalFormatting>
  <conditionalFormatting sqref="A128">
    <cfRule type="expression" dxfId="55" priority="20">
      <formula>OR(AND($B$47&lt;=6,$B$48&lt;3.6),(AND($B$47=7,$B$48&lt;4.2)))</formula>
    </cfRule>
  </conditionalFormatting>
  <conditionalFormatting sqref="A129">
    <cfRule type="expression" dxfId="54" priority="19">
      <formula>OR(AND($B$47&lt;=6,$B$48&lt;4.8),(AND($B$47=7,$B$48&lt;5.6)))</formula>
    </cfRule>
  </conditionalFormatting>
  <conditionalFormatting sqref="A130">
    <cfRule type="expression" dxfId="53" priority="18">
      <formula>OR(AND($B$47&lt;=6,$B$48&lt;6),(AND($B$47=7,$B$48&lt;7)))</formula>
    </cfRule>
  </conditionalFormatting>
  <conditionalFormatting sqref="A131">
    <cfRule type="expression" dxfId="52" priority="17">
      <formula>OR(AND($B$47&lt;=6,$B$48&lt;7.2),(AND($B$47=7,$B$48&lt;8.4)))</formula>
    </cfRule>
  </conditionalFormatting>
  <conditionalFormatting sqref="A132">
    <cfRule type="expression" dxfId="51" priority="16">
      <formula>OR(AND($B$47&lt;=6,$B$48&lt;8.4),(AND($B$47=7,$B$48&lt;9.8)))</formula>
    </cfRule>
  </conditionalFormatting>
  <conditionalFormatting sqref="A133">
    <cfRule type="expression" dxfId="50" priority="15">
      <formula>OR(AND($B$47&lt;=6,$B$48&lt;9.6),(AND($B$47=7,$B$48&lt;11.2)))</formula>
    </cfRule>
  </conditionalFormatting>
  <conditionalFormatting sqref="A134">
    <cfRule type="expression" dxfId="49" priority="14">
      <formula>OR(AND($B$47&lt;=6,$B$48&lt;10.8),(AND($B$47=7,$B$48&lt;12.6)))</formula>
    </cfRule>
  </conditionalFormatting>
  <conditionalFormatting sqref="A135">
    <cfRule type="expression" dxfId="48" priority="13">
      <formula>OR(AND($B$47&lt;=6,$B$48&lt;12),(AND($B$47=7,$B$48&lt;14)))</formula>
    </cfRule>
  </conditionalFormatting>
  <conditionalFormatting sqref="A127">
    <cfRule type="expression" dxfId="47" priority="9">
      <formula>OR(AND($B$47&lt;=6,$B$48&lt;2.4),(AND($B$47=7,$B$48&lt;2.8)))</formula>
    </cfRule>
  </conditionalFormatting>
  <conditionalFormatting sqref="A57">
    <cfRule type="expression" dxfId="46" priority="8">
      <formula>$B$48&lt;3=TRUE</formula>
    </cfRule>
  </conditionalFormatting>
  <conditionalFormatting sqref="A58">
    <cfRule type="expression" dxfId="45" priority="7">
      <formula>OR(AND($B$47&lt;=6,$B$48&lt;2.4),(AND($B$47=7,$B$48&lt;2.8)))</formula>
    </cfRule>
  </conditionalFormatting>
  <conditionalFormatting sqref="D83">
    <cfRule type="expression" priority="5">
      <formula>$B$47&lt;3=TRUE</formula>
    </cfRule>
  </conditionalFormatting>
  <conditionalFormatting sqref="A83">
    <cfRule type="expression" dxfId="44" priority="6">
      <formula>$B$47&lt;1.67=TRUE</formula>
    </cfRule>
  </conditionalFormatting>
  <conditionalFormatting sqref="A74">
    <cfRule type="expression" dxfId="43" priority="1">
      <formula>$B$48&lt;6=TRUE</formula>
    </cfRule>
  </conditionalFormatting>
  <conditionalFormatting sqref="A68">
    <cfRule type="expression" dxfId="42" priority="4">
      <formula>$B$48&lt;6=TRUE</formula>
    </cfRule>
  </conditionalFormatting>
  <conditionalFormatting sqref="A70">
    <cfRule type="expression" dxfId="41" priority="3">
      <formula>$B$48&lt;6=TRUE</formula>
    </cfRule>
  </conditionalFormatting>
  <conditionalFormatting sqref="A72">
    <cfRule type="expression" dxfId="40" priority="2">
      <formula>$B$48&lt;6=TRUE</formula>
    </cfRule>
  </conditionalFormatting>
  <hyperlinks>
    <hyperlink ref="D29" location="'PWS non-mature skeleton only'!A1" display="Go to PWS non-mature skeleton calculator"/>
    <hyperlink ref="E29" location="'PWS non-mature skeleton only'!A1" display="Go to PWS non-mature skeleton calculator"/>
    <hyperlink ref="D30" location="'PWS mature skeleton only'!A1" display="Go to PWS mature skeleton calculator"/>
    <hyperlink ref="E30" location="'PWS mature skeleton only'!A1" display="Go to PWS mature skeleton calculator"/>
  </hyperlinks>
  <pageMargins left="0.23622047244094491" right="0.23622047244094491" top="0.55118110236220474" bottom="0.55118110236220474" header="0.31496062992125984" footer="0.31496062992125984"/>
  <pageSetup paperSize="8" scale="5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107"/>
  <sheetViews>
    <sheetView workbookViewId="0"/>
  </sheetViews>
  <sheetFormatPr defaultRowHeight="15" x14ac:dyDescent="0.25"/>
  <cols>
    <col min="1" max="1" width="33.140625" customWidth="1"/>
    <col min="2" max="3" width="29.42578125" customWidth="1"/>
    <col min="4" max="4" width="28.140625" customWidth="1"/>
    <col min="5" max="5" width="34.42578125" customWidth="1"/>
    <col min="8" max="8" width="24.85546875" customWidth="1"/>
    <col min="9" max="9" width="18.5703125" customWidth="1"/>
    <col min="11" max="11" width="5.5703125" customWidth="1"/>
    <col min="32" max="32" width="10.85546875" customWidth="1"/>
  </cols>
  <sheetData>
    <row r="1" spans="1:12" s="26" customFormat="1" ht="23.25" x14ac:dyDescent="0.35">
      <c r="A1" s="55" t="s">
        <v>536</v>
      </c>
      <c r="B1" s="55"/>
      <c r="C1" s="55"/>
      <c r="D1" s="55"/>
      <c r="E1" s="55"/>
      <c r="F1" s="55"/>
      <c r="G1" s="55"/>
      <c r="H1" s="55"/>
      <c r="I1" s="55"/>
    </row>
    <row r="2" spans="1:12" s="26" customFormat="1" ht="20.100000000000001" customHeight="1" x14ac:dyDescent="0.25">
      <c r="A2" s="86"/>
      <c r="B2" s="6"/>
      <c r="C2" s="6"/>
      <c r="D2" s="6"/>
      <c r="E2" s="6"/>
      <c r="F2" s="6"/>
      <c r="G2" s="6"/>
      <c r="H2" s="6"/>
      <c r="I2" s="6"/>
      <c r="J2" s="27"/>
      <c r="K2" s="27"/>
      <c r="L2" s="27"/>
    </row>
    <row r="3" spans="1:12" s="26" customFormat="1" ht="15.75" x14ac:dyDescent="0.25">
      <c r="A3" s="76" t="s">
        <v>42</v>
      </c>
      <c r="B3" s="77"/>
      <c r="C3" s="77"/>
      <c r="D3" s="77"/>
      <c r="E3" s="77"/>
      <c r="F3" s="77"/>
      <c r="G3" s="77"/>
      <c r="H3" s="77"/>
      <c r="I3" s="77"/>
      <c r="J3" s="185"/>
      <c r="K3" s="186"/>
      <c r="L3" s="27"/>
    </row>
    <row r="4" spans="1:12" s="196" customFormat="1" ht="21.95" customHeight="1" x14ac:dyDescent="0.25">
      <c r="A4" s="192" t="s">
        <v>521</v>
      </c>
      <c r="B4" s="193"/>
      <c r="C4" s="193"/>
      <c r="D4" s="193"/>
      <c r="E4" s="193"/>
      <c r="F4" s="193"/>
      <c r="G4" s="193"/>
      <c r="H4" s="193"/>
      <c r="I4" s="193"/>
      <c r="J4" s="194"/>
      <c r="K4" s="195"/>
      <c r="L4" s="194"/>
    </row>
    <row r="5" spans="1:12" s="196" customFormat="1" ht="21.95" customHeight="1" x14ac:dyDescent="0.25">
      <c r="A5" s="192" t="s">
        <v>520</v>
      </c>
      <c r="B5" s="193"/>
      <c r="C5" s="193"/>
      <c r="D5" s="193"/>
      <c r="E5" s="193"/>
      <c r="F5" s="193"/>
      <c r="G5" s="193"/>
      <c r="H5" s="193"/>
      <c r="I5" s="193"/>
      <c r="J5" s="194"/>
      <c r="K5" s="195"/>
      <c r="L5" s="194"/>
    </row>
    <row r="6" spans="1:12" s="196" customFormat="1" ht="21.95" customHeight="1" x14ac:dyDescent="0.25">
      <c r="A6" s="226" t="s">
        <v>555</v>
      </c>
      <c r="B6" s="193"/>
      <c r="C6" s="193"/>
      <c r="D6" s="193"/>
      <c r="E6" s="193"/>
      <c r="F6" s="193"/>
      <c r="G6" s="193"/>
      <c r="H6" s="193"/>
      <c r="I6" s="193"/>
      <c r="J6" s="194"/>
      <c r="K6" s="195"/>
      <c r="L6" s="194"/>
    </row>
    <row r="7" spans="1:12" s="196" customFormat="1" ht="21.95" customHeight="1" x14ac:dyDescent="0.25">
      <c r="A7" s="192" t="s">
        <v>522</v>
      </c>
      <c r="B7" s="193"/>
      <c r="C7" s="193"/>
      <c r="D7" s="193"/>
      <c r="E7" s="193"/>
      <c r="F7" s="193"/>
      <c r="G7" s="193"/>
      <c r="H7" s="193"/>
      <c r="I7" s="193"/>
      <c r="J7" s="194"/>
      <c r="K7" s="195"/>
      <c r="L7" s="194"/>
    </row>
    <row r="8" spans="1:12" s="196" customFormat="1" ht="21.95" customHeight="1" x14ac:dyDescent="0.25">
      <c r="A8" s="192" t="s">
        <v>557</v>
      </c>
      <c r="B8" s="193"/>
      <c r="C8" s="193"/>
      <c r="D8" s="193"/>
      <c r="E8" s="193"/>
      <c r="F8" s="193"/>
      <c r="G8" s="193"/>
      <c r="H8" s="193"/>
      <c r="I8" s="193"/>
      <c r="J8" s="194"/>
      <c r="K8" s="195"/>
      <c r="L8" s="194"/>
    </row>
    <row r="9" spans="1:12" s="196" customFormat="1" ht="21.95" customHeight="1" x14ac:dyDescent="0.25">
      <c r="A9" s="226" t="s">
        <v>556</v>
      </c>
      <c r="B9" s="193"/>
      <c r="C9" s="193"/>
      <c r="D9" s="193"/>
      <c r="E9" s="193"/>
      <c r="F9" s="193"/>
      <c r="G9" s="193"/>
      <c r="H9" s="193"/>
      <c r="I9" s="193"/>
      <c r="J9" s="194"/>
      <c r="K9" s="195"/>
      <c r="L9" s="194"/>
    </row>
    <row r="10" spans="1:12" s="196" customFormat="1" ht="21.95" customHeight="1" x14ac:dyDescent="0.25">
      <c r="A10" s="192" t="s">
        <v>523</v>
      </c>
      <c r="B10" s="193"/>
      <c r="C10" s="193"/>
      <c r="D10" s="193"/>
      <c r="E10" s="193"/>
      <c r="F10" s="193"/>
      <c r="G10" s="193"/>
      <c r="H10" s="193"/>
      <c r="I10" s="193"/>
      <c r="J10" s="194"/>
      <c r="K10" s="195"/>
      <c r="L10" s="194"/>
    </row>
    <row r="11" spans="1:12" s="196" customFormat="1" ht="21.95" customHeight="1" x14ac:dyDescent="0.25">
      <c r="A11" s="192" t="s">
        <v>524</v>
      </c>
      <c r="B11" s="193"/>
      <c r="C11" s="193"/>
      <c r="D11" s="193"/>
      <c r="E11" s="193"/>
      <c r="F11" s="193"/>
      <c r="G11" s="193"/>
      <c r="H11" s="193"/>
      <c r="I11" s="193"/>
      <c r="J11" s="194"/>
      <c r="K11" s="195"/>
      <c r="L11" s="194"/>
    </row>
    <row r="12" spans="1:12" s="196" customFormat="1" ht="21.95" customHeight="1" x14ac:dyDescent="0.25">
      <c r="A12" s="192" t="s">
        <v>525</v>
      </c>
      <c r="B12" s="193"/>
      <c r="C12" s="193"/>
      <c r="D12" s="193"/>
      <c r="E12" s="193"/>
      <c r="F12" s="193"/>
      <c r="G12" s="193"/>
      <c r="H12" s="193"/>
      <c r="I12" s="193"/>
      <c r="J12" s="194"/>
      <c r="K12" s="195"/>
      <c r="L12" s="194"/>
    </row>
    <row r="13" spans="1:12" s="196" customFormat="1" ht="21.95" customHeight="1" x14ac:dyDescent="0.25">
      <c r="A13" s="242" t="s">
        <v>526</v>
      </c>
      <c r="B13" s="193"/>
      <c r="C13" s="193"/>
      <c r="D13" s="193"/>
      <c r="E13" s="193"/>
      <c r="F13" s="193"/>
      <c r="G13" s="193"/>
      <c r="H13" s="193"/>
      <c r="I13" s="193"/>
      <c r="J13" s="194"/>
      <c r="K13" s="195"/>
      <c r="L13" s="194"/>
    </row>
    <row r="14" spans="1:12" s="196" customFormat="1" ht="21.95" customHeight="1" x14ac:dyDescent="0.3">
      <c r="A14" s="240" t="s">
        <v>527</v>
      </c>
      <c r="B14" s="193"/>
      <c r="C14" s="193"/>
      <c r="D14" s="193"/>
      <c r="E14" s="193"/>
      <c r="F14" s="193"/>
      <c r="G14" s="193"/>
      <c r="H14" s="193"/>
      <c r="I14" s="193"/>
      <c r="J14" s="194"/>
      <c r="K14" s="195"/>
      <c r="L14" s="194"/>
    </row>
    <row r="15" spans="1:12" s="196" customFormat="1" ht="21.95" customHeight="1" x14ac:dyDescent="0.25">
      <c r="A15" s="192" t="s">
        <v>519</v>
      </c>
      <c r="B15" s="193"/>
      <c r="C15" s="193"/>
      <c r="D15" s="193"/>
      <c r="E15" s="193"/>
      <c r="F15" s="193"/>
      <c r="G15" s="193"/>
      <c r="H15" s="193"/>
      <c r="I15" s="193"/>
      <c r="J15" s="194"/>
      <c r="K15" s="195"/>
      <c r="L15" s="194"/>
    </row>
    <row r="16" spans="1:12" s="196" customFormat="1" ht="21.95" customHeight="1" x14ac:dyDescent="0.25">
      <c r="A16" s="192" t="s">
        <v>517</v>
      </c>
      <c r="B16" s="193"/>
      <c r="C16" s="193"/>
      <c r="D16" s="193"/>
      <c r="E16" s="193"/>
      <c r="F16" s="193"/>
      <c r="G16" s="193"/>
      <c r="H16" s="193"/>
      <c r="I16" s="193"/>
      <c r="J16" s="194"/>
      <c r="K16" s="195"/>
      <c r="L16" s="194"/>
    </row>
    <row r="17" spans="1:12" s="196" customFormat="1" ht="21.95" customHeight="1" x14ac:dyDescent="0.25">
      <c r="A17" s="192" t="s">
        <v>518</v>
      </c>
      <c r="B17" s="193"/>
      <c r="C17" s="193"/>
      <c r="D17" s="193"/>
      <c r="E17" s="193"/>
      <c r="F17" s="193"/>
      <c r="G17" s="193"/>
      <c r="H17" s="193"/>
      <c r="I17" s="193"/>
      <c r="J17" s="194"/>
      <c r="K17" s="195"/>
      <c r="L17" s="194"/>
    </row>
    <row r="18" spans="1:12" s="196" customFormat="1" ht="21.95" customHeight="1" x14ac:dyDescent="0.25">
      <c r="A18" s="192" t="s">
        <v>571</v>
      </c>
      <c r="B18" s="193"/>
      <c r="C18" s="193"/>
      <c r="D18" s="193"/>
      <c r="E18" s="193"/>
      <c r="F18" s="193"/>
      <c r="G18" s="193"/>
      <c r="H18" s="193"/>
      <c r="I18" s="193"/>
      <c r="J18" s="194"/>
      <c r="K18" s="195"/>
      <c r="L18" s="194"/>
    </row>
    <row r="19" spans="1:12" s="49" customFormat="1" ht="20.100000000000001" customHeight="1" x14ac:dyDescent="0.25">
      <c r="A19" s="190" t="s">
        <v>491</v>
      </c>
      <c r="B19" s="108"/>
      <c r="C19" s="108"/>
      <c r="D19" s="108"/>
      <c r="E19" s="108"/>
      <c r="F19" s="108"/>
      <c r="G19" s="108"/>
      <c r="H19" s="108"/>
      <c r="I19" s="108"/>
      <c r="J19" s="48"/>
      <c r="K19" s="187"/>
      <c r="L19" s="48"/>
    </row>
    <row r="20" spans="1:12" s="26" customFormat="1" ht="20.100000000000001" customHeight="1" x14ac:dyDescent="0.25">
      <c r="A20" s="203" t="s">
        <v>558</v>
      </c>
      <c r="J20" s="27"/>
      <c r="K20" s="204"/>
      <c r="L20" s="27"/>
    </row>
    <row r="21" spans="1:12" s="49" customFormat="1" ht="20.100000000000001" customHeight="1" x14ac:dyDescent="0.25">
      <c r="A21" s="113" t="s">
        <v>481</v>
      </c>
      <c r="B21" s="80"/>
      <c r="C21" s="80"/>
      <c r="D21" s="80"/>
      <c r="E21" s="80"/>
      <c r="F21" s="80"/>
      <c r="G21" s="80"/>
      <c r="H21" s="80"/>
      <c r="I21" s="80"/>
      <c r="J21" s="188"/>
      <c r="K21" s="189"/>
      <c r="L21" s="48"/>
    </row>
    <row r="22" spans="1:12" s="26" customFormat="1" ht="15.75" x14ac:dyDescent="0.25">
      <c r="J22" s="27"/>
      <c r="K22" s="27"/>
      <c r="L22" s="27"/>
    </row>
    <row r="23" spans="1:12" s="26" customFormat="1" ht="15.75" x14ac:dyDescent="0.25">
      <c r="A23" s="7"/>
      <c r="B23" s="2"/>
      <c r="C23" s="2"/>
      <c r="D23" s="2"/>
      <c r="E23" s="2"/>
      <c r="F23" s="2"/>
      <c r="G23" s="2"/>
      <c r="H23" s="2"/>
      <c r="I23" s="2"/>
      <c r="J23" s="27"/>
      <c r="K23" s="27"/>
      <c r="L23" s="27"/>
    </row>
    <row r="24" spans="1:12" s="26" customFormat="1" ht="15.75" x14ac:dyDescent="0.25">
      <c r="A24" s="56" t="s">
        <v>0</v>
      </c>
      <c r="B24" s="57"/>
      <c r="C24" s="57"/>
      <c r="D24" s="57"/>
      <c r="E24" s="58"/>
      <c r="F24" s="2"/>
      <c r="G24" s="2"/>
      <c r="H24" s="2"/>
      <c r="I24" s="2"/>
      <c r="J24" s="27"/>
      <c r="K24" s="27"/>
      <c r="L24" s="27"/>
    </row>
    <row r="25" spans="1:12" s="26" customFormat="1" ht="15.75" x14ac:dyDescent="0.25">
      <c r="A25" s="71" t="s">
        <v>305</v>
      </c>
      <c r="B25" s="72"/>
      <c r="C25" s="73"/>
      <c r="D25" s="52" t="s">
        <v>306</v>
      </c>
      <c r="E25" s="40" t="s">
        <v>307</v>
      </c>
      <c r="F25" s="19"/>
      <c r="G25" s="19"/>
      <c r="H25" s="19"/>
      <c r="I25" s="19"/>
    </row>
    <row r="26" spans="1:12" s="26" customFormat="1" ht="18.75" x14ac:dyDescent="0.25">
      <c r="A26" s="68" t="s">
        <v>49</v>
      </c>
      <c r="B26" s="69"/>
      <c r="C26" s="70"/>
      <c r="D26" s="51" t="s">
        <v>482</v>
      </c>
      <c r="E26" s="51" t="s">
        <v>483</v>
      </c>
      <c r="F26" s="22"/>
      <c r="G26" s="22"/>
      <c r="H26" s="22"/>
    </row>
    <row r="27" spans="1:12" s="26" customFormat="1" ht="15" customHeight="1" x14ac:dyDescent="0.25">
      <c r="A27" s="61" t="s">
        <v>310</v>
      </c>
      <c r="B27" s="61"/>
      <c r="C27" s="61"/>
      <c r="D27" s="61"/>
      <c r="E27" s="61"/>
      <c r="F27" s="61"/>
      <c r="G27" s="61"/>
      <c r="H27" s="61"/>
      <c r="I27" s="61"/>
    </row>
    <row r="28" spans="1:12" s="26" customFormat="1" ht="15" customHeight="1" x14ac:dyDescent="0.25">
      <c r="A28" s="61" t="s">
        <v>559</v>
      </c>
      <c r="B28" s="61"/>
      <c r="C28" s="61"/>
      <c r="D28" s="61"/>
      <c r="E28" s="61"/>
      <c r="F28" s="61"/>
      <c r="G28" s="61"/>
      <c r="H28" s="61"/>
      <c r="I28" s="61"/>
    </row>
    <row r="29" spans="1:12" s="26" customFormat="1" x14ac:dyDescent="0.25">
      <c r="A29" s="3"/>
      <c r="B29"/>
      <c r="C29"/>
      <c r="D29"/>
      <c r="E29"/>
      <c r="F29"/>
      <c r="G29"/>
      <c r="H29"/>
      <c r="I29"/>
    </row>
    <row r="30" spans="1:12" s="26" customFormat="1" x14ac:dyDescent="0.25">
      <c r="A30"/>
      <c r="B30"/>
      <c r="C30"/>
      <c r="D30"/>
      <c r="E30"/>
      <c r="F30"/>
      <c r="G30"/>
      <c r="H30"/>
      <c r="I30"/>
    </row>
    <row r="31" spans="1:12" s="26" customFormat="1" ht="15.75" x14ac:dyDescent="0.25">
      <c r="A31" s="56" t="s">
        <v>11</v>
      </c>
      <c r="B31" s="58"/>
      <c r="C31"/>
      <c r="D31"/>
      <c r="E31"/>
      <c r="F31"/>
      <c r="G31"/>
      <c r="H31"/>
      <c r="I31"/>
    </row>
    <row r="32" spans="1:12" s="26" customFormat="1" ht="15.75" customHeight="1" x14ac:dyDescent="0.25">
      <c r="A32" s="1" t="s">
        <v>46</v>
      </c>
      <c r="B32" s="137"/>
      <c r="C32"/>
      <c r="D32"/>
      <c r="E32"/>
      <c r="F32"/>
      <c r="G32"/>
      <c r="H32"/>
      <c r="I32"/>
    </row>
    <row r="33" spans="1:12" s="26" customFormat="1" ht="31.5" x14ac:dyDescent="0.25">
      <c r="A33" s="14" t="s">
        <v>560</v>
      </c>
      <c r="B33" s="137"/>
      <c r="C33"/>
      <c r="D33"/>
      <c r="E33"/>
      <c r="F33"/>
      <c r="G33"/>
      <c r="H33"/>
      <c r="I33"/>
    </row>
    <row r="34" spans="1:12" s="26" customFormat="1" ht="15.75" x14ac:dyDescent="0.25">
      <c r="A34" s="1" t="s">
        <v>10</v>
      </c>
      <c r="B34" s="142">
        <f>SQRT((B32*B33)/3600)</f>
        <v>0</v>
      </c>
      <c r="C34"/>
      <c r="D34"/>
      <c r="E34"/>
      <c r="F34"/>
      <c r="G34"/>
      <c r="H34"/>
      <c r="I34"/>
    </row>
    <row r="35" spans="1:12" s="26" customFormat="1" ht="18.75" customHeight="1" x14ac:dyDescent="0.25">
      <c r="A35" s="61" t="s">
        <v>561</v>
      </c>
      <c r="B35" s="61"/>
      <c r="C35" s="61"/>
      <c r="D35" s="61"/>
      <c r="E35" s="61"/>
      <c r="F35" s="61"/>
      <c r="G35" s="61"/>
      <c r="H35" s="61"/>
      <c r="I35" s="61"/>
    </row>
    <row r="36" spans="1:12" s="26" customFormat="1" ht="18.75" customHeight="1" x14ac:dyDescent="0.25">
      <c r="A36" s="106" t="s">
        <v>562</v>
      </c>
      <c r="B36" s="61"/>
      <c r="C36" s="61"/>
      <c r="D36" s="61"/>
      <c r="E36" s="61"/>
      <c r="F36" s="61"/>
      <c r="G36" s="61"/>
      <c r="H36" s="61"/>
      <c r="I36" s="61"/>
    </row>
    <row r="37" spans="1:12" s="26" customFormat="1" x14ac:dyDescent="0.25">
      <c r="A37" s="16"/>
      <c r="B37"/>
      <c r="C37"/>
      <c r="D37"/>
      <c r="E37"/>
      <c r="F37"/>
      <c r="G37"/>
      <c r="H37"/>
      <c r="I37"/>
    </row>
    <row r="38" spans="1:12" s="26" customFormat="1" x14ac:dyDescent="0.25">
      <c r="A38"/>
      <c r="B38"/>
      <c r="C38"/>
      <c r="D38"/>
      <c r="E38"/>
      <c r="F38"/>
      <c r="G38"/>
      <c r="H38"/>
      <c r="I38"/>
    </row>
    <row r="39" spans="1:12" s="26" customFormat="1" ht="18.75" x14ac:dyDescent="0.3">
      <c r="A39" s="56" t="s">
        <v>12</v>
      </c>
      <c r="B39" s="58"/>
      <c r="C39" s="2"/>
      <c r="D39" s="2"/>
      <c r="E39" s="18"/>
      <c r="F39" s="15"/>
      <c r="G39" s="15"/>
      <c r="H39" s="21"/>
      <c r="I39" s="21"/>
    </row>
    <row r="40" spans="1:12" s="26" customFormat="1" ht="18" x14ac:dyDescent="0.25">
      <c r="A40" s="4" t="s">
        <v>484</v>
      </c>
      <c r="B40" s="137"/>
      <c r="C40" s="2"/>
      <c r="D40" s="2"/>
      <c r="E40" s="15"/>
      <c r="F40" s="15"/>
      <c r="G40" s="15"/>
      <c r="H40" s="22"/>
      <c r="I40" s="22"/>
      <c r="J40" s="10"/>
      <c r="K40" s="10"/>
      <c r="L40" s="10"/>
    </row>
    <row r="41" spans="1:12" s="26" customFormat="1" ht="18.75" x14ac:dyDescent="0.3">
      <c r="A41" s="33" t="s">
        <v>13</v>
      </c>
      <c r="B41" s="39">
        <f>B40*B34</f>
        <v>0</v>
      </c>
      <c r="C41" s="2"/>
      <c r="D41" s="2"/>
      <c r="E41" s="15"/>
      <c r="F41" s="15"/>
      <c r="G41" s="15"/>
      <c r="H41" s="23"/>
      <c r="I41" s="23"/>
      <c r="J41" s="13"/>
      <c r="K41" s="13"/>
      <c r="L41" s="27"/>
    </row>
    <row r="42" spans="1:12" s="26" customFormat="1" ht="18.75" customHeight="1" x14ac:dyDescent="0.3">
      <c r="A42" s="114" t="s">
        <v>485</v>
      </c>
      <c r="B42" s="59"/>
      <c r="C42" s="59"/>
      <c r="D42" s="59"/>
      <c r="E42" s="59"/>
      <c r="F42" s="59"/>
      <c r="G42" s="59"/>
      <c r="H42" s="59"/>
      <c r="I42" s="59"/>
      <c r="J42" s="28"/>
      <c r="K42" s="28"/>
      <c r="L42" s="24"/>
    </row>
    <row r="43" spans="1:12" s="26" customFormat="1" x14ac:dyDescent="0.25">
      <c r="A43" s="3"/>
      <c r="B43"/>
      <c r="C43"/>
      <c r="D43"/>
      <c r="E43"/>
      <c r="F43"/>
      <c r="G43"/>
      <c r="H43"/>
      <c r="I43"/>
    </row>
    <row r="44" spans="1:12" s="26" customFormat="1" x14ac:dyDescent="0.25">
      <c r="A44" s="3"/>
      <c r="B44"/>
      <c r="C44"/>
      <c r="D44"/>
      <c r="E44"/>
      <c r="F44"/>
      <c r="G44"/>
      <c r="H44"/>
      <c r="I44"/>
    </row>
    <row r="45" spans="1:12" s="26" customFormat="1" ht="31.5" x14ac:dyDescent="0.25">
      <c r="A45" s="105" t="s">
        <v>315</v>
      </c>
      <c r="B45" s="137"/>
      <c r="C45"/>
      <c r="D45"/>
      <c r="E45"/>
      <c r="F45"/>
      <c r="G45"/>
      <c r="H45"/>
      <c r="I45"/>
    </row>
    <row r="46" spans="1:12" s="26" customFormat="1" ht="58.5" x14ac:dyDescent="0.3">
      <c r="A46" s="81" t="s">
        <v>50</v>
      </c>
      <c r="B46" s="138"/>
      <c r="C46"/>
      <c r="D46"/>
      <c r="E46" s="9"/>
      <c r="F46"/>
      <c r="G46"/>
      <c r="H46" s="10"/>
      <c r="I46" s="10"/>
    </row>
    <row r="47" spans="1:12" s="26" customFormat="1" ht="28.5" x14ac:dyDescent="0.45">
      <c r="A47" s="12" t="s">
        <v>486</v>
      </c>
      <c r="B47" s="237" t="e">
        <f>B46/B34</f>
        <v>#DIV/0!</v>
      </c>
      <c r="C47" s="239" t="s">
        <v>510</v>
      </c>
      <c r="D47"/>
      <c r="E47"/>
      <c r="F47"/>
      <c r="G47"/>
      <c r="H47" s="25"/>
      <c r="I47" s="25"/>
      <c r="J47" s="10"/>
      <c r="K47" s="10"/>
      <c r="L47" s="24"/>
    </row>
    <row r="48" spans="1:12" s="26" customFormat="1" ht="17.25" x14ac:dyDescent="0.25">
      <c r="A48" s="54" t="s">
        <v>343</v>
      </c>
      <c r="B48" s="54"/>
      <c r="C48" s="54"/>
      <c r="D48" s="54"/>
      <c r="E48" s="54"/>
      <c r="F48" s="54"/>
      <c r="G48" s="54"/>
      <c r="H48" s="54"/>
      <c r="I48" s="54"/>
      <c r="J48" s="29"/>
      <c r="K48" s="29"/>
    </row>
    <row r="49" spans="1:12" s="26" customFormat="1" ht="17.25" x14ac:dyDescent="0.25">
      <c r="A49" s="59" t="s">
        <v>487</v>
      </c>
      <c r="B49" s="59"/>
      <c r="C49" s="59"/>
      <c r="D49" s="59"/>
      <c r="E49" s="59"/>
      <c r="F49" s="59"/>
      <c r="G49" s="59"/>
      <c r="H49" s="59"/>
      <c r="I49" s="59"/>
    </row>
    <row r="50" spans="1:12" s="26" customFormat="1" x14ac:dyDescent="0.25">
      <c r="A50"/>
      <c r="B50"/>
      <c r="C50"/>
      <c r="D50"/>
      <c r="E50"/>
      <c r="F50"/>
      <c r="G50"/>
      <c r="H50"/>
      <c r="I50"/>
    </row>
    <row r="51" spans="1:12" s="26" customFormat="1" x14ac:dyDescent="0.25">
      <c r="A51"/>
      <c r="B51"/>
      <c r="C51"/>
      <c r="D51"/>
      <c r="E51"/>
      <c r="F51"/>
      <c r="G51"/>
      <c r="H51"/>
      <c r="I51"/>
    </row>
    <row r="52" spans="1:12" s="26" customFormat="1" ht="15.75" x14ac:dyDescent="0.25">
      <c r="A52" s="56" t="s">
        <v>450</v>
      </c>
      <c r="B52" s="57"/>
      <c r="C52" s="58"/>
      <c r="D52" s="19"/>
      <c r="E52" s="19"/>
      <c r="F52" s="2"/>
      <c r="G52" s="2"/>
      <c r="H52" s="2"/>
      <c r="I52" s="2"/>
    </row>
    <row r="53" spans="1:12" s="26" customFormat="1" ht="63" x14ac:dyDescent="0.25">
      <c r="A53" s="141" t="s">
        <v>34</v>
      </c>
      <c r="B53" s="38" t="s">
        <v>447</v>
      </c>
      <c r="C53" s="35" t="s">
        <v>448</v>
      </c>
      <c r="D53" s="2"/>
      <c r="G53" s="2"/>
      <c r="H53" s="2"/>
      <c r="I53" s="2"/>
      <c r="J53" s="27"/>
      <c r="K53" s="27"/>
      <c r="L53" s="27"/>
    </row>
    <row r="54" spans="1:12" s="26" customFormat="1" ht="15.75" x14ac:dyDescent="0.25">
      <c r="A54" s="36" t="s">
        <v>14</v>
      </c>
      <c r="B54" s="37">
        <f>ROUNDUP(((B46*16)/5), 0)</f>
        <v>0</v>
      </c>
      <c r="C54" s="37">
        <f>ROUNDUP(((B46*13)/5), 0)</f>
        <v>0</v>
      </c>
      <c r="D54" s="87" t="str">
        <f>IF(B46&lt;1.25,A98,"")</f>
        <v>This product is not recommended at the prescribed weekly dose as the cartridge contents will not be completed within the 28 days shelf -life</v>
      </c>
      <c r="G54" s="2"/>
      <c r="H54" s="2"/>
      <c r="I54" s="2"/>
      <c r="J54" s="27"/>
      <c r="K54" s="27"/>
      <c r="L54" s="27"/>
    </row>
    <row r="55" spans="1:12" s="26" customFormat="1" ht="15.75" x14ac:dyDescent="0.25">
      <c r="A55" s="152" t="s">
        <v>15</v>
      </c>
      <c r="B55" s="148">
        <f>ROUNDUP(((B46*16)/12), 0)</f>
        <v>0</v>
      </c>
      <c r="C55" s="148">
        <f>ROUNDUP(((B46*13)/12), 0)</f>
        <v>0</v>
      </c>
      <c r="D55" s="87" t="str">
        <f>IF(B46&lt;3,A98,"")</f>
        <v>This product is not recommended at the prescribed weekly dose as the cartridge contents will not be completed within the 28 days shelf -life</v>
      </c>
      <c r="G55" s="2"/>
      <c r="H55" s="2"/>
      <c r="I55" s="2"/>
      <c r="J55" s="27"/>
      <c r="K55" s="27"/>
      <c r="L55" s="27"/>
    </row>
    <row r="56" spans="1:12" s="26" customFormat="1" ht="15.75" x14ac:dyDescent="0.25">
      <c r="A56" s="249" t="s">
        <v>459</v>
      </c>
      <c r="B56" s="44">
        <f>CEILING(B85, 7)</f>
        <v>0</v>
      </c>
      <c r="C56" s="44">
        <f>CEILING(C85, 7)</f>
        <v>0</v>
      </c>
      <c r="D56" s="87" t="str">
        <f>IF((OR(AND($B$45&lt;=6,$B$46&lt;2.4),(AND($B$45=7,$B$46&lt;2.8)))),A99,"")</f>
        <v>This product is not recommended at the prescribed weekly dose as the single use syringes restrict the weekly dose to a minimum of 2.4mg (6 inj/week) and 2.8mg (7 inj/week)</v>
      </c>
      <c r="G56" s="2"/>
      <c r="H56" s="2"/>
      <c r="I56" s="2"/>
      <c r="J56" s="27"/>
      <c r="K56" s="27"/>
      <c r="L56" s="27"/>
    </row>
    <row r="57" spans="1:12" s="26" customFormat="1" ht="15.75" x14ac:dyDescent="0.25">
      <c r="A57" s="147" t="s">
        <v>438</v>
      </c>
      <c r="B57" s="53">
        <f>CEILING(B86, 7)</f>
        <v>0</v>
      </c>
      <c r="C57" s="53">
        <f>CEILING(C86, 7)</f>
        <v>0</v>
      </c>
      <c r="D57" s="87" t="str">
        <f>IF((OR(AND($B$45&lt;=6,$B$46&lt;3.6),(AND($B$45=7,$B$46&lt;4.2)))),A100,"")</f>
        <v>This product is not recommended at the prescribed weekly dose as the single use syringes restrict the weekly dose to a minimum of 3.6mg (6 inj/week) and 4.2mg (7 inj/week)</v>
      </c>
      <c r="G57" s="2"/>
      <c r="H57" s="2"/>
      <c r="I57" s="2"/>
      <c r="J57" s="27"/>
      <c r="K57" s="27"/>
      <c r="L57" s="27"/>
    </row>
    <row r="58" spans="1:12" s="26" customFormat="1" ht="15.75" x14ac:dyDescent="0.25">
      <c r="A58" s="36" t="s">
        <v>439</v>
      </c>
      <c r="B58" s="44">
        <f t="shared" ref="B58:C64" si="0">CEILING(B87, 7)</f>
        <v>0</v>
      </c>
      <c r="C58" s="44">
        <f t="shared" si="0"/>
        <v>0</v>
      </c>
      <c r="D58" s="87" t="str">
        <f>IF((OR(AND($B$45&lt;=6,$B$46&lt;4.8),(AND($B$45=7,$B$46&lt;5.6)))),A101,"")</f>
        <v>This product is not recommended at the prescribed weekly dose as the single use syringes restrict the weekly dose to a minimum of 4.8mg (6 inj/week) and 5.6mg (7 inj/week)</v>
      </c>
      <c r="G58" s="2"/>
      <c r="H58" s="2"/>
      <c r="I58" s="2"/>
      <c r="J58" s="27"/>
      <c r="K58" s="27"/>
      <c r="L58" s="27"/>
    </row>
    <row r="59" spans="1:12" s="26" customFormat="1" ht="15.75" x14ac:dyDescent="0.25">
      <c r="A59" s="147" t="s">
        <v>440</v>
      </c>
      <c r="B59" s="53">
        <f t="shared" si="0"/>
        <v>0</v>
      </c>
      <c r="C59" s="53">
        <f t="shared" si="0"/>
        <v>0</v>
      </c>
      <c r="D59" s="87" t="str">
        <f>IF((OR(AND($B$45&lt;=6,$B$46&lt;6),(AND($B$45=7,$B$46&lt;7)))),A102,"")</f>
        <v>This product is not recommended at the prescribed weekly dose as the single use syringes restrict the weekly dose to a minimum of 6mg (6 inj/week) and 7mg (7 inj/week)</v>
      </c>
      <c r="G59" s="2"/>
      <c r="H59" s="2"/>
      <c r="I59" s="2"/>
      <c r="J59" s="27"/>
      <c r="K59" s="27"/>
      <c r="L59" s="27"/>
    </row>
    <row r="60" spans="1:12" s="26" customFormat="1" ht="15.75" x14ac:dyDescent="0.25">
      <c r="A60" s="36" t="s">
        <v>441</v>
      </c>
      <c r="B60" s="44">
        <f t="shared" si="0"/>
        <v>0</v>
      </c>
      <c r="C60" s="44">
        <f t="shared" si="0"/>
        <v>0</v>
      </c>
      <c r="D60" s="87" t="str">
        <f>IF((OR(AND($B$45&lt;=6,$B$46&lt;7.2),(AND($B$45=7,$B$46&lt;8.4)))),A103,"")</f>
        <v>This product is not recommended at the prescribed weekly dose as the single use syringes restrict the weekly dose to a minimum of 7.2mg (6 inj/week) and 8.4mg (7 inj/week)</v>
      </c>
      <c r="G60" s="2"/>
      <c r="H60" s="2"/>
      <c r="I60" s="2"/>
      <c r="J60" s="27"/>
      <c r="K60" s="27"/>
      <c r="L60" s="27"/>
    </row>
    <row r="61" spans="1:12" s="26" customFormat="1" ht="15.75" x14ac:dyDescent="0.25">
      <c r="A61" s="147" t="s">
        <v>442</v>
      </c>
      <c r="B61" s="53">
        <f t="shared" si="0"/>
        <v>0</v>
      </c>
      <c r="C61" s="53">
        <f t="shared" si="0"/>
        <v>0</v>
      </c>
      <c r="D61" s="87" t="str">
        <f>IF((OR(AND($B$45&lt;=6,$B$46&lt;8.4),(AND($B$45=7,$B$46&lt;9.8)))),A104,"")</f>
        <v>This product is not recommended at the prescribed weekly dose as the single use syringes restrict the weekly dose to a minimum of 8.4mg (6 inj/week) and 9.8mg (7 inj/week)</v>
      </c>
      <c r="G61" s="2"/>
      <c r="H61" s="2"/>
      <c r="I61" s="2"/>
      <c r="J61" s="27"/>
      <c r="K61" s="27"/>
      <c r="L61" s="27"/>
    </row>
    <row r="62" spans="1:12" s="26" customFormat="1" ht="15.75" x14ac:dyDescent="0.25">
      <c r="A62" s="36" t="s">
        <v>443</v>
      </c>
      <c r="B62" s="44">
        <f t="shared" si="0"/>
        <v>0</v>
      </c>
      <c r="C62" s="44">
        <f t="shared" si="0"/>
        <v>0</v>
      </c>
      <c r="D62" s="87" t="str">
        <f>IF((OR(AND($B$45&lt;=6,$B$46&lt;9.6),(AND($B$45=7,$B$46&lt;11.2)))),A105,"")</f>
        <v>This product is not recommended at the prescribed weekly dose as the single use syringes restrict the weekly dose to a minimum of 9.6mg (6 inj/week) and 11.2mg (7 inj/week)</v>
      </c>
      <c r="G62" s="2"/>
      <c r="H62" s="2"/>
      <c r="I62" s="2"/>
      <c r="J62" s="27"/>
      <c r="K62" s="27"/>
      <c r="L62" s="27"/>
    </row>
    <row r="63" spans="1:12" s="26" customFormat="1" ht="15.75" x14ac:dyDescent="0.25">
      <c r="A63" s="147" t="s">
        <v>444</v>
      </c>
      <c r="B63" s="53">
        <f t="shared" si="0"/>
        <v>0</v>
      </c>
      <c r="C63" s="53">
        <f t="shared" si="0"/>
        <v>0</v>
      </c>
      <c r="D63" s="87" t="str">
        <f>IF((OR(AND($B$45&lt;=6,$B$46&lt;10.8),(AND($B$45=7,$B$46&lt;12.6)))),A106,"")</f>
        <v>This product is not recommended at the prescribed weekly dose as the single use syringes restrict the weekly dose to a minimum of 10.8mg (6 inj/week) and 12.6mg (7 inj/week)</v>
      </c>
      <c r="G63" s="2"/>
      <c r="H63" s="2"/>
      <c r="I63" s="2"/>
      <c r="J63" s="27"/>
      <c r="K63" s="27"/>
      <c r="L63" s="27"/>
    </row>
    <row r="64" spans="1:12" s="26" customFormat="1" ht="15.75" x14ac:dyDescent="0.25">
      <c r="A64" s="36" t="s">
        <v>445</v>
      </c>
      <c r="B64" s="44">
        <f t="shared" si="0"/>
        <v>0</v>
      </c>
      <c r="C64" s="44">
        <f t="shared" si="0"/>
        <v>0</v>
      </c>
      <c r="D64" s="87" t="str">
        <f>IF((OR(AND($B$45&lt;=6,$B$46&lt;12),(AND($B$45=7,$B$46&lt;14)))),A107,"")</f>
        <v>This product is not recommended at the prescribed weekly dose as the single use syringes restrict the weekly dose to a minimum of 12mg (6 inj/week) and 14mg (7 inj/week)</v>
      </c>
      <c r="G64" s="2"/>
      <c r="H64" s="2"/>
      <c r="I64" s="2"/>
      <c r="J64" s="27"/>
      <c r="K64" s="27"/>
      <c r="L64" s="27"/>
    </row>
    <row r="65" spans="1:12" s="26" customFormat="1" ht="15.75" x14ac:dyDescent="0.25">
      <c r="A65" s="54"/>
      <c r="B65" s="54"/>
      <c r="C65" s="54"/>
      <c r="D65" s="54"/>
      <c r="E65" s="54"/>
      <c r="F65" s="54"/>
      <c r="G65" s="54"/>
      <c r="H65" s="54"/>
      <c r="I65" s="54"/>
      <c r="J65" s="27"/>
      <c r="K65" s="27"/>
      <c r="L65" s="27"/>
    </row>
    <row r="67" spans="1:12" ht="15.75" x14ac:dyDescent="0.25">
      <c r="A67" s="56" t="s">
        <v>376</v>
      </c>
      <c r="B67" s="118"/>
      <c r="C67" s="118"/>
      <c r="D67" s="119"/>
    </row>
    <row r="68" spans="1:12" ht="63" x14ac:dyDescent="0.25">
      <c r="A68" s="115" t="s">
        <v>34</v>
      </c>
      <c r="B68" s="117" t="s">
        <v>382</v>
      </c>
      <c r="C68" s="5" t="s">
        <v>375</v>
      </c>
      <c r="D68" s="5" t="s">
        <v>383</v>
      </c>
    </row>
    <row r="69" spans="1:12" ht="15.75" x14ac:dyDescent="0.25">
      <c r="A69" s="116" t="s">
        <v>14</v>
      </c>
      <c r="B69" s="44" t="s">
        <v>366</v>
      </c>
      <c r="C69" s="44" t="s">
        <v>428</v>
      </c>
      <c r="D69" s="44" t="s">
        <v>418</v>
      </c>
    </row>
    <row r="70" spans="1:12" ht="15.75" x14ac:dyDescent="0.25">
      <c r="A70" s="153" t="s">
        <v>15</v>
      </c>
      <c r="B70" s="53" t="s">
        <v>365</v>
      </c>
      <c r="C70" s="53" t="s">
        <v>427</v>
      </c>
      <c r="D70" s="53" t="s">
        <v>417</v>
      </c>
    </row>
    <row r="71" spans="1:12" ht="15.75" x14ac:dyDescent="0.25">
      <c r="A71" s="116" t="s">
        <v>461</v>
      </c>
      <c r="B71" s="44" t="s">
        <v>463</v>
      </c>
      <c r="C71" s="44" t="s">
        <v>462</v>
      </c>
      <c r="D71" s="44" t="s">
        <v>464</v>
      </c>
    </row>
    <row r="72" spans="1:12" ht="15.75" x14ac:dyDescent="0.25">
      <c r="A72" s="153" t="s">
        <v>16</v>
      </c>
      <c r="B72" s="53" t="s">
        <v>367</v>
      </c>
      <c r="C72" s="53" t="s">
        <v>429</v>
      </c>
      <c r="D72" s="53" t="s">
        <v>419</v>
      </c>
    </row>
    <row r="73" spans="1:12" ht="15.75" x14ac:dyDescent="0.25">
      <c r="A73" s="116" t="s">
        <v>17</v>
      </c>
      <c r="B73" s="44" t="s">
        <v>368</v>
      </c>
      <c r="C73" s="44" t="s">
        <v>430</v>
      </c>
      <c r="D73" s="44" t="s">
        <v>420</v>
      </c>
    </row>
    <row r="74" spans="1:12" ht="15.75" x14ac:dyDescent="0.25">
      <c r="A74" s="153" t="s">
        <v>18</v>
      </c>
      <c r="B74" s="53" t="s">
        <v>369</v>
      </c>
      <c r="C74" s="53" t="s">
        <v>431</v>
      </c>
      <c r="D74" s="53" t="s">
        <v>421</v>
      </c>
    </row>
    <row r="75" spans="1:12" ht="15.75" x14ac:dyDescent="0.25">
      <c r="A75" s="116" t="s">
        <v>19</v>
      </c>
      <c r="B75" s="44" t="s">
        <v>370</v>
      </c>
      <c r="C75" s="44" t="s">
        <v>432</v>
      </c>
      <c r="D75" s="44" t="s">
        <v>422</v>
      </c>
    </row>
    <row r="76" spans="1:12" ht="15.75" x14ac:dyDescent="0.25">
      <c r="A76" s="153" t="s">
        <v>20</v>
      </c>
      <c r="B76" s="53" t="s">
        <v>371</v>
      </c>
      <c r="C76" s="53" t="s">
        <v>433</v>
      </c>
      <c r="D76" s="53" t="s">
        <v>423</v>
      </c>
    </row>
    <row r="77" spans="1:12" ht="15.75" x14ac:dyDescent="0.25">
      <c r="A77" s="116" t="s">
        <v>21</v>
      </c>
      <c r="B77" s="44" t="s">
        <v>372</v>
      </c>
      <c r="C77" s="44" t="s">
        <v>434</v>
      </c>
      <c r="D77" s="44" t="s">
        <v>424</v>
      </c>
    </row>
    <row r="78" spans="1:12" ht="15.75" x14ac:dyDescent="0.25">
      <c r="A78" s="153" t="s">
        <v>22</v>
      </c>
      <c r="B78" s="53" t="s">
        <v>373</v>
      </c>
      <c r="C78" s="53" t="s">
        <v>435</v>
      </c>
      <c r="D78" s="53" t="s">
        <v>425</v>
      </c>
    </row>
    <row r="79" spans="1:12" ht="15.75" x14ac:dyDescent="0.25">
      <c r="A79" s="116" t="s">
        <v>23</v>
      </c>
      <c r="B79" s="44" t="s">
        <v>374</v>
      </c>
      <c r="C79" s="44" t="s">
        <v>436</v>
      </c>
      <c r="D79" s="44" t="s">
        <v>426</v>
      </c>
    </row>
    <row r="84" spans="1:3" ht="63" hidden="1" x14ac:dyDescent="0.25">
      <c r="A84" s="141" t="s">
        <v>34</v>
      </c>
      <c r="B84" s="5" t="s">
        <v>447</v>
      </c>
      <c r="C84" s="140" t="s">
        <v>448</v>
      </c>
    </row>
    <row r="85" spans="1:3" ht="15.75" hidden="1" x14ac:dyDescent="0.25">
      <c r="A85" s="36" t="s">
        <v>459</v>
      </c>
      <c r="B85" s="37">
        <f>ROUNDUP(((B46*16)/0.4), 0)</f>
        <v>0</v>
      </c>
      <c r="C85" s="37">
        <f>ROUNDUP(((B46*13)/0.4), 0)</f>
        <v>0</v>
      </c>
    </row>
    <row r="86" spans="1:3" ht="15.75" hidden="1" x14ac:dyDescent="0.25">
      <c r="A86" s="1" t="s">
        <v>438</v>
      </c>
      <c r="B86" s="8">
        <f>ROUNDUP(((B46*16)/0.6), 0)</f>
        <v>0</v>
      </c>
      <c r="C86" s="8">
        <f>ROUNDUP(((B46*13)/0.6), 0)</f>
        <v>0</v>
      </c>
    </row>
    <row r="87" spans="1:3" ht="15.75" hidden="1" x14ac:dyDescent="0.25">
      <c r="A87" s="36" t="s">
        <v>439</v>
      </c>
      <c r="B87" s="37">
        <f>ROUNDUP(((B46*16)/0.8), 0)</f>
        <v>0</v>
      </c>
      <c r="C87" s="37">
        <f>ROUNDUP(((B46*13)/0.8), 0)</f>
        <v>0</v>
      </c>
    </row>
    <row r="88" spans="1:3" ht="15.75" hidden="1" x14ac:dyDescent="0.25">
      <c r="A88" s="1" t="s">
        <v>440</v>
      </c>
      <c r="B88" s="8">
        <f>ROUNDUP(((B46*16)/1), 0)</f>
        <v>0</v>
      </c>
      <c r="C88" s="8">
        <f>ROUNDUP(((B46*13)/1), 0)</f>
        <v>0</v>
      </c>
    </row>
    <row r="89" spans="1:3" ht="15.75" hidden="1" x14ac:dyDescent="0.25">
      <c r="A89" s="36" t="s">
        <v>441</v>
      </c>
      <c r="B89" s="37">
        <f>ROUNDUP(((B46*16)/1.2), 0)</f>
        <v>0</v>
      </c>
      <c r="C89" s="37">
        <f>ROUNDUP(((B46*13)/1.2), 0)</f>
        <v>0</v>
      </c>
    </row>
    <row r="90" spans="1:3" ht="15.75" hidden="1" x14ac:dyDescent="0.25">
      <c r="A90" s="1" t="s">
        <v>442</v>
      </c>
      <c r="B90" s="8">
        <f>ROUNDUP(((B46*16)/1.4), 0)</f>
        <v>0</v>
      </c>
      <c r="C90" s="8">
        <f>ROUNDUP(((B46*13)/1.4), 0)</f>
        <v>0</v>
      </c>
    </row>
    <row r="91" spans="1:3" ht="15.75" hidden="1" x14ac:dyDescent="0.25">
      <c r="A91" s="36" t="s">
        <v>443</v>
      </c>
      <c r="B91" s="37">
        <f>ROUNDUP(((B46*16)/1.6), 0)</f>
        <v>0</v>
      </c>
      <c r="C91" s="37">
        <f>ROUNDUP(((B46*13)/1.6), 0)</f>
        <v>0</v>
      </c>
    </row>
    <row r="92" spans="1:3" ht="15.75" hidden="1" x14ac:dyDescent="0.25">
      <c r="A92" s="1" t="s">
        <v>444</v>
      </c>
      <c r="B92" s="8">
        <f>ROUNDUP(((B46*16)/1.8), 0)</f>
        <v>0</v>
      </c>
      <c r="C92" s="8">
        <f>ROUNDUP(((B46*13)/1.8), 0)</f>
        <v>0</v>
      </c>
    </row>
    <row r="93" spans="1:3" ht="15.75" hidden="1" x14ac:dyDescent="0.25">
      <c r="A93" s="36" t="s">
        <v>445</v>
      </c>
      <c r="B93" s="37">
        <f>ROUNDUP(((B46*16)/2), 0)</f>
        <v>0</v>
      </c>
      <c r="C93" s="37">
        <f>ROUNDUP(((B46*13)/2), 0)</f>
        <v>0</v>
      </c>
    </row>
    <row r="94" spans="1:3" hidden="1" x14ac:dyDescent="0.25"/>
    <row r="95" spans="1:3" hidden="1" x14ac:dyDescent="0.25"/>
    <row r="96" spans="1:3" hidden="1" x14ac:dyDescent="0.25"/>
    <row r="97" spans="1:1" hidden="1" x14ac:dyDescent="0.25"/>
    <row r="98" spans="1:1" hidden="1" x14ac:dyDescent="0.25">
      <c r="A98" t="s">
        <v>314</v>
      </c>
    </row>
    <row r="99" spans="1:1" hidden="1" x14ac:dyDescent="0.25">
      <c r="A99" t="s">
        <v>460</v>
      </c>
    </row>
    <row r="100" spans="1:1" hidden="1" x14ac:dyDescent="0.25">
      <c r="A100" t="s">
        <v>334</v>
      </c>
    </row>
    <row r="101" spans="1:1" hidden="1" x14ac:dyDescent="0.25">
      <c r="A101" t="s">
        <v>335</v>
      </c>
    </row>
    <row r="102" spans="1:1" hidden="1" x14ac:dyDescent="0.25">
      <c r="A102" t="s">
        <v>336</v>
      </c>
    </row>
    <row r="103" spans="1:1" hidden="1" x14ac:dyDescent="0.25">
      <c r="A103" t="s">
        <v>337</v>
      </c>
    </row>
    <row r="104" spans="1:1" hidden="1" x14ac:dyDescent="0.25">
      <c r="A104" t="s">
        <v>338</v>
      </c>
    </row>
    <row r="105" spans="1:1" hidden="1" x14ac:dyDescent="0.25">
      <c r="A105" t="s">
        <v>339</v>
      </c>
    </row>
    <row r="106" spans="1:1" hidden="1" x14ac:dyDescent="0.25">
      <c r="A106" t="s">
        <v>340</v>
      </c>
    </row>
    <row r="107" spans="1:1" hidden="1" x14ac:dyDescent="0.25">
      <c r="A107" t="s">
        <v>341</v>
      </c>
    </row>
  </sheetData>
  <sheetProtection algorithmName="SHA-256" hashValue="dhgiWz+k7enOFtqGk6FB/4HMZTxdOrrbhRA576UPanI=" saltValue="Ek29txLvqGuOYFJmtAAjfw==" spinCount="100000" sheet="1" objects="1" scenarios="1"/>
  <conditionalFormatting sqref="A54">
    <cfRule type="expression" dxfId="39" priority="22">
      <formula>$B$46&lt;1.25=TRUE</formula>
    </cfRule>
  </conditionalFormatting>
  <conditionalFormatting sqref="A57">
    <cfRule type="expression" dxfId="38" priority="20">
      <formula>OR(AND($B$45&lt;=6,$B$46&lt;3.6),(AND($B$45=7,$B$46&lt;4.2)))</formula>
    </cfRule>
  </conditionalFormatting>
  <conditionalFormatting sqref="A58">
    <cfRule type="expression" dxfId="37" priority="19">
      <formula>OR(AND($B$45&lt;=6,$B$46&lt;4.8),(AND($B$45=7,$B$46&lt;5.6)))</formula>
    </cfRule>
  </conditionalFormatting>
  <conditionalFormatting sqref="A59">
    <cfRule type="expression" dxfId="36" priority="18">
      <formula>OR(AND($B$45&lt;=6,$B$46&lt;6),(AND($B$45=7,$B$46&lt;7)))</formula>
    </cfRule>
  </conditionalFormatting>
  <conditionalFormatting sqref="A60">
    <cfRule type="expression" dxfId="35" priority="17">
      <formula>OR(AND($B$45&lt;=6,$B$46&lt;7.2),(AND($B$45=7,$B$46&lt;8.4)))</formula>
    </cfRule>
  </conditionalFormatting>
  <conditionalFormatting sqref="A61">
    <cfRule type="expression" dxfId="34" priority="16">
      <formula>OR(AND($B$45&lt;=6,$B$46&lt;8.4),(AND($B$45=7,$B$46&lt;9.8)))</formula>
    </cfRule>
  </conditionalFormatting>
  <conditionalFormatting sqref="A62">
    <cfRule type="expression" dxfId="33" priority="15">
      <formula>OR(AND($B$45&lt;=6,$B$46&lt;9.6),(AND($B$45=7,$B$46&lt;11.2)))</formula>
    </cfRule>
  </conditionalFormatting>
  <conditionalFormatting sqref="A63">
    <cfRule type="expression" dxfId="32" priority="14">
      <formula>OR(AND($B$45&lt;=6,$B$46&lt;10.8),(AND($B$45=7,$B$46&lt;12.6)))</formula>
    </cfRule>
  </conditionalFormatting>
  <conditionalFormatting sqref="A64">
    <cfRule type="expression" dxfId="31" priority="13">
      <formula>OR(AND($B$45&lt;=6,$B$46&lt;12),(AND($B$45=7,$B$46&lt;14)))</formula>
    </cfRule>
  </conditionalFormatting>
  <conditionalFormatting sqref="A86">
    <cfRule type="expression" dxfId="30" priority="12">
      <formula>OR(AND($B$45&lt;=6,$B$46&lt;3.6),(AND($B$45=7,$B$46&lt;4.2)))</formula>
    </cfRule>
  </conditionalFormatting>
  <conditionalFormatting sqref="A87">
    <cfRule type="expression" dxfId="29" priority="11">
      <formula>OR(AND($B$45&lt;=6,$B$46&lt;4.8),(AND($B$45=7,$B$46&lt;5.6)))</formula>
    </cfRule>
  </conditionalFormatting>
  <conditionalFormatting sqref="A88">
    <cfRule type="expression" dxfId="28" priority="10">
      <formula>OR(AND($B$45&lt;=6,$B$46&lt;6),(AND($B$45=7,$B$46&lt;7)))</formula>
    </cfRule>
  </conditionalFormatting>
  <conditionalFormatting sqref="A89">
    <cfRule type="expression" dxfId="27" priority="9">
      <formula>OR(AND($B$45&lt;=6,$B$46&lt;7.2),(AND($B$45=7,$B$46&lt;8.4)))</formula>
    </cfRule>
  </conditionalFormatting>
  <conditionalFormatting sqref="A90">
    <cfRule type="expression" dxfId="26" priority="8">
      <formula>OR(AND($B$45&lt;=6,$B$46&lt;8.4),(AND($B$45=7,$B$46&lt;9.8)))</formula>
    </cfRule>
  </conditionalFormatting>
  <conditionalFormatting sqref="A91">
    <cfRule type="expression" dxfId="25" priority="7">
      <formula>OR(AND($B$45&lt;=6,$B$46&lt;9.6),(AND($B$45=7,$B$46&lt;11.2)))</formula>
    </cfRule>
  </conditionalFormatting>
  <conditionalFormatting sqref="A92">
    <cfRule type="expression" dxfId="24" priority="6">
      <formula>OR(AND($B$45&lt;=6,$B$46&lt;10.8),(AND($B$45=7,$B$46&lt;12.6)))</formula>
    </cfRule>
  </conditionalFormatting>
  <conditionalFormatting sqref="A93">
    <cfRule type="expression" dxfId="23" priority="5">
      <formula>OR(AND($B$45&lt;=6,$B$46&lt;12),(AND($B$45=7,$B$46&lt;14)))</formula>
    </cfRule>
  </conditionalFormatting>
  <conditionalFormatting sqref="A85">
    <cfRule type="expression" dxfId="22" priority="4">
      <formula>OR(AND($B$45&lt;=6,$B$46&lt;2.4),(AND($B$45=7,$B$46&lt;2.8)))</formula>
    </cfRule>
  </conditionalFormatting>
  <conditionalFormatting sqref="A56">
    <cfRule type="expression" dxfId="21" priority="2">
      <formula>OR(AND($B$45&lt;=6,$B$46&lt;2.4),(AND($B$45=7,$B$46&lt;2.8)))</formula>
    </cfRule>
  </conditionalFormatting>
  <conditionalFormatting sqref="A55">
    <cfRule type="expression" dxfId="20" priority="1">
      <formula>OR(AND($B$45&lt;=6,$B$46&lt;2.4),(AND($B$45=7,$B$46&lt;2.8)))</formula>
    </cfRule>
  </conditionalFormatting>
  <hyperlinks>
    <hyperlink ref="A6" location="'BMI and ideal body weight - PWS'!A1" display="See worksheet 'BMI and ideal body weight - PWS' to determine whether the patient has a BMI above the 85th percentile for age and sex."/>
    <hyperlink ref="A9" location="'BMI and ideal body weight - PWS'!A1" display="See worksheet 'BMI and ideal body weight - PWS' for calculation of ideal body weight."/>
    <hyperlink ref="A36" location="'BMI and ideal body weight - PWS'!A1" display="See worksheet 'BMI and ideal body weight - PWS' for calculation of BMI, determination of whether or not the patient has a BMI above the 85th percentile for age and sex, and calculation of ideal body weight."/>
  </hyperlinks>
  <pageMargins left="0.7" right="0.7" top="0.75" bottom="0.75" header="0.3" footer="0.3"/>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J99"/>
  <sheetViews>
    <sheetView workbookViewId="0"/>
  </sheetViews>
  <sheetFormatPr defaultRowHeight="15" x14ac:dyDescent="0.25"/>
  <cols>
    <col min="1" max="1" width="32.28515625" customWidth="1"/>
    <col min="2" max="2" width="27.5703125" customWidth="1"/>
    <col min="3" max="3" width="26" customWidth="1"/>
    <col min="4" max="4" width="25.7109375" customWidth="1"/>
    <col min="5" max="5" width="33.42578125" customWidth="1"/>
    <col min="9" max="9" width="14.42578125" bestFit="1" customWidth="1"/>
    <col min="14" max="14" width="6.5703125" customWidth="1"/>
    <col min="34" max="34" width="10.7109375" customWidth="1"/>
  </cols>
  <sheetData>
    <row r="1" spans="1:36" ht="23.25" x14ac:dyDescent="0.35">
      <c r="A1" s="55" t="s">
        <v>537</v>
      </c>
      <c r="B1" s="55"/>
      <c r="C1" s="55"/>
      <c r="D1" s="55"/>
      <c r="E1" s="55"/>
      <c r="F1" s="55"/>
      <c r="G1" s="55"/>
      <c r="H1" s="55"/>
      <c r="I1" s="55"/>
    </row>
    <row r="2" spans="1:36" ht="20.100000000000001" customHeight="1" x14ac:dyDescent="0.25">
      <c r="A2" s="86"/>
      <c r="B2" s="6"/>
      <c r="C2" s="6"/>
      <c r="D2" s="6"/>
      <c r="E2" s="6"/>
      <c r="F2" s="6"/>
      <c r="G2" s="6"/>
      <c r="H2" s="6"/>
      <c r="I2" s="6"/>
      <c r="J2" s="2"/>
      <c r="K2" s="2"/>
      <c r="L2" s="2"/>
    </row>
    <row r="3" spans="1:36" ht="15.75" x14ac:dyDescent="0.25">
      <c r="A3" s="76" t="s">
        <v>42</v>
      </c>
      <c r="B3" s="77"/>
      <c r="C3" s="77"/>
      <c r="D3" s="77"/>
      <c r="E3" s="77"/>
      <c r="F3" s="77"/>
      <c r="G3" s="77"/>
      <c r="H3" s="77"/>
      <c r="I3" s="77"/>
      <c r="J3" s="88"/>
      <c r="K3" s="88"/>
      <c r="L3" s="88"/>
      <c r="M3" s="197"/>
      <c r="N3" s="198"/>
      <c r="O3" s="11"/>
      <c r="P3" s="11"/>
      <c r="Q3" s="11"/>
      <c r="R3" s="11"/>
      <c r="S3" s="11"/>
      <c r="T3" s="11"/>
      <c r="U3" s="11"/>
      <c r="V3" s="11"/>
      <c r="W3" s="11"/>
      <c r="X3" s="11"/>
      <c r="Y3" s="11"/>
      <c r="Z3" s="11"/>
      <c r="AA3" s="11"/>
      <c r="AB3" s="11"/>
      <c r="AC3" s="11"/>
      <c r="AD3" s="11"/>
      <c r="AE3" s="11"/>
      <c r="AF3" s="11"/>
      <c r="AG3" s="11"/>
      <c r="AH3" s="11"/>
      <c r="AI3" s="11"/>
      <c r="AJ3" s="11"/>
    </row>
    <row r="4" spans="1:36" ht="21.95" customHeight="1" x14ac:dyDescent="0.25">
      <c r="A4" s="192" t="s">
        <v>528</v>
      </c>
      <c r="B4" s="107"/>
      <c r="C4" s="107"/>
      <c r="D4" s="107"/>
      <c r="E4" s="107"/>
      <c r="F4" s="107"/>
      <c r="G4" s="107"/>
      <c r="H4" s="107"/>
      <c r="I4" s="107"/>
      <c r="J4" s="15"/>
      <c r="K4" s="15"/>
      <c r="L4" s="15"/>
      <c r="M4" s="11"/>
      <c r="N4" s="243"/>
      <c r="O4" s="11"/>
      <c r="P4" s="11"/>
      <c r="Q4" s="11"/>
      <c r="R4" s="11"/>
      <c r="S4" s="11"/>
      <c r="T4" s="11"/>
      <c r="U4" s="11"/>
      <c r="V4" s="11"/>
      <c r="W4" s="11"/>
      <c r="X4" s="11"/>
      <c r="Y4" s="11"/>
      <c r="Z4" s="11"/>
      <c r="AA4" s="11"/>
      <c r="AB4" s="11"/>
      <c r="AC4" s="11"/>
      <c r="AD4" s="11"/>
      <c r="AE4" s="11"/>
      <c r="AF4" s="11"/>
      <c r="AG4" s="11"/>
      <c r="AH4" s="11"/>
      <c r="AI4" s="11"/>
      <c r="AJ4" s="11"/>
    </row>
    <row r="5" spans="1:36" ht="21.95" customHeight="1" x14ac:dyDescent="0.25">
      <c r="A5" s="226" t="s">
        <v>555</v>
      </c>
      <c r="B5" s="107"/>
      <c r="C5" s="107"/>
      <c r="D5" s="107"/>
      <c r="E5" s="107"/>
      <c r="F5" s="107"/>
      <c r="G5" s="107"/>
      <c r="H5" s="107"/>
      <c r="I5" s="107"/>
      <c r="J5" s="15"/>
      <c r="K5" s="15"/>
      <c r="L5" s="15"/>
      <c r="M5" s="11"/>
      <c r="N5" s="243"/>
      <c r="O5" s="11"/>
      <c r="P5" s="11"/>
      <c r="Q5" s="11"/>
      <c r="R5" s="11"/>
      <c r="S5" s="11"/>
      <c r="T5" s="11"/>
      <c r="U5" s="11"/>
      <c r="V5" s="11"/>
      <c r="W5" s="11"/>
      <c r="X5" s="11"/>
      <c r="Y5" s="11"/>
      <c r="Z5" s="11"/>
      <c r="AA5" s="11"/>
      <c r="AB5" s="11"/>
      <c r="AC5" s="11"/>
      <c r="AD5" s="11"/>
      <c r="AE5" s="11"/>
      <c r="AF5" s="11"/>
      <c r="AG5" s="11"/>
      <c r="AH5" s="11"/>
      <c r="AI5" s="11"/>
      <c r="AJ5" s="11"/>
    </row>
    <row r="6" spans="1:36" s="45" customFormat="1" ht="21.95" customHeight="1" x14ac:dyDescent="0.3">
      <c r="A6" s="191" t="s">
        <v>530</v>
      </c>
      <c r="B6" s="78"/>
      <c r="C6" s="78"/>
      <c r="D6" s="78"/>
      <c r="E6" s="78"/>
      <c r="F6" s="78"/>
      <c r="G6" s="78"/>
      <c r="H6" s="78"/>
      <c r="I6" s="78"/>
      <c r="J6" s="89"/>
      <c r="K6" s="89"/>
      <c r="L6" s="89"/>
      <c r="M6" s="90"/>
      <c r="N6" s="199"/>
      <c r="O6" s="90"/>
      <c r="P6" s="90"/>
      <c r="Q6" s="90"/>
      <c r="R6" s="90"/>
      <c r="S6" s="90"/>
      <c r="T6" s="90"/>
      <c r="U6" s="90"/>
      <c r="V6" s="90"/>
      <c r="W6" s="90"/>
      <c r="X6" s="90"/>
      <c r="Y6" s="90"/>
      <c r="Z6" s="90"/>
      <c r="AA6" s="90"/>
      <c r="AB6" s="90"/>
      <c r="AC6" s="90"/>
      <c r="AD6" s="90"/>
      <c r="AE6" s="90"/>
      <c r="AF6" s="90"/>
      <c r="AG6" s="90"/>
      <c r="AH6" s="90"/>
      <c r="AI6" s="90"/>
      <c r="AJ6" s="90"/>
    </row>
    <row r="7" spans="1:36" s="45" customFormat="1" ht="21.95" customHeight="1" x14ac:dyDescent="0.3">
      <c r="A7" s="191" t="s">
        <v>563</v>
      </c>
      <c r="B7" s="78"/>
      <c r="C7" s="78"/>
      <c r="D7" s="78"/>
      <c r="E7" s="78"/>
      <c r="F7" s="78"/>
      <c r="G7" s="78"/>
      <c r="H7" s="78"/>
      <c r="I7" s="78"/>
      <c r="J7" s="89"/>
      <c r="K7" s="89"/>
      <c r="L7" s="89"/>
      <c r="M7" s="90"/>
      <c r="N7" s="199"/>
      <c r="O7" s="90"/>
      <c r="P7" s="90"/>
      <c r="Q7" s="90"/>
      <c r="R7" s="90"/>
      <c r="S7" s="90"/>
      <c r="T7" s="90"/>
      <c r="U7" s="90"/>
      <c r="V7" s="90"/>
      <c r="W7" s="90"/>
      <c r="X7" s="90"/>
      <c r="Y7" s="90"/>
      <c r="Z7" s="90"/>
      <c r="AA7" s="90"/>
      <c r="AB7" s="90"/>
      <c r="AC7" s="90"/>
      <c r="AD7" s="90"/>
      <c r="AE7" s="90"/>
      <c r="AF7" s="90"/>
      <c r="AG7" s="90"/>
      <c r="AH7" s="90"/>
      <c r="AI7" s="90"/>
      <c r="AJ7" s="90"/>
    </row>
    <row r="8" spans="1:36" s="45" customFormat="1" ht="21.95" customHeight="1" x14ac:dyDescent="0.25">
      <c r="A8" s="226" t="s">
        <v>556</v>
      </c>
      <c r="B8" s="78"/>
      <c r="C8" s="78"/>
      <c r="D8" s="78"/>
      <c r="E8" s="78"/>
      <c r="F8" s="78"/>
      <c r="G8" s="78"/>
      <c r="H8" s="78"/>
      <c r="I8" s="78"/>
      <c r="J8" s="89"/>
      <c r="K8" s="89"/>
      <c r="L8" s="89"/>
      <c r="M8" s="90"/>
      <c r="N8" s="199"/>
      <c r="O8" s="90"/>
      <c r="P8" s="90"/>
      <c r="Q8" s="90"/>
      <c r="R8" s="90"/>
      <c r="S8" s="90"/>
      <c r="T8" s="90"/>
      <c r="U8" s="90"/>
      <c r="V8" s="90"/>
      <c r="W8" s="90"/>
      <c r="X8" s="90"/>
      <c r="Y8" s="90"/>
      <c r="Z8" s="90"/>
      <c r="AA8" s="90"/>
      <c r="AB8" s="90"/>
      <c r="AC8" s="90"/>
      <c r="AD8" s="90"/>
      <c r="AE8" s="90"/>
      <c r="AF8" s="90"/>
      <c r="AG8" s="90"/>
      <c r="AH8" s="90"/>
      <c r="AI8" s="90"/>
      <c r="AJ8" s="90"/>
    </row>
    <row r="9" spans="1:36" s="47" customFormat="1" ht="21.95" customHeight="1" x14ac:dyDescent="0.3">
      <c r="A9" s="191" t="s">
        <v>531</v>
      </c>
      <c r="B9" s="78"/>
      <c r="C9" s="78"/>
      <c r="D9" s="78"/>
      <c r="E9" s="78"/>
      <c r="F9" s="78"/>
      <c r="G9" s="78"/>
      <c r="H9" s="78"/>
      <c r="I9" s="78"/>
      <c r="J9" s="78"/>
      <c r="K9" s="78"/>
      <c r="L9" s="78"/>
      <c r="M9" s="91"/>
      <c r="N9" s="200"/>
      <c r="O9" s="91"/>
      <c r="P9" s="91"/>
      <c r="Q9" s="91"/>
      <c r="R9" s="91"/>
      <c r="S9" s="91"/>
      <c r="T9" s="91"/>
      <c r="U9" s="91"/>
      <c r="V9" s="91"/>
      <c r="W9" s="91"/>
      <c r="X9" s="91"/>
      <c r="Y9" s="91"/>
      <c r="Z9" s="91"/>
      <c r="AA9" s="91"/>
      <c r="AB9" s="91"/>
      <c r="AC9" s="91"/>
      <c r="AD9" s="91"/>
      <c r="AE9" s="91"/>
      <c r="AF9" s="91"/>
      <c r="AG9" s="91"/>
      <c r="AH9" s="91"/>
      <c r="AI9" s="91"/>
      <c r="AJ9" s="91"/>
    </row>
    <row r="10" spans="1:36" s="47" customFormat="1" ht="21.95" customHeight="1" x14ac:dyDescent="0.3">
      <c r="A10" s="191" t="s">
        <v>532</v>
      </c>
      <c r="B10" s="78"/>
      <c r="C10" s="78"/>
      <c r="D10" s="78"/>
      <c r="E10" s="78"/>
      <c r="F10" s="78"/>
      <c r="G10" s="78"/>
      <c r="H10" s="78"/>
      <c r="I10" s="78"/>
      <c r="J10" s="78"/>
      <c r="K10" s="78"/>
      <c r="L10" s="78"/>
      <c r="M10" s="91"/>
      <c r="N10" s="200"/>
      <c r="O10" s="91"/>
      <c r="P10" s="91"/>
      <c r="Q10" s="91"/>
      <c r="R10" s="91"/>
      <c r="S10" s="91"/>
      <c r="T10" s="91"/>
      <c r="U10" s="91"/>
      <c r="V10" s="91"/>
      <c r="W10" s="91"/>
      <c r="X10" s="91"/>
      <c r="Y10" s="91"/>
      <c r="Z10" s="91"/>
      <c r="AA10" s="91"/>
      <c r="AB10" s="91"/>
      <c r="AC10" s="91"/>
      <c r="AD10" s="91"/>
      <c r="AE10" s="91"/>
      <c r="AF10" s="91"/>
      <c r="AG10" s="91"/>
      <c r="AH10" s="91"/>
      <c r="AI10" s="91"/>
      <c r="AJ10" s="91"/>
    </row>
    <row r="11" spans="1:36" s="47" customFormat="1" ht="21.95" customHeight="1" x14ac:dyDescent="0.3">
      <c r="A11" s="241" t="s">
        <v>533</v>
      </c>
      <c r="B11" s="78"/>
      <c r="C11" s="78"/>
      <c r="D11" s="78"/>
      <c r="E11" s="78"/>
      <c r="F11" s="78"/>
      <c r="G11" s="78"/>
      <c r="H11" s="78"/>
      <c r="I11" s="78"/>
      <c r="J11" s="78"/>
      <c r="K11" s="78"/>
      <c r="L11" s="78"/>
      <c r="M11" s="91"/>
      <c r="N11" s="200"/>
      <c r="O11" s="91"/>
      <c r="P11" s="91"/>
      <c r="Q11" s="91"/>
      <c r="R11" s="91"/>
      <c r="S11" s="91"/>
      <c r="T11" s="91"/>
      <c r="U11" s="91"/>
      <c r="V11" s="91"/>
      <c r="W11" s="91"/>
      <c r="X11" s="91"/>
      <c r="Y11" s="91"/>
      <c r="Z11" s="91"/>
      <c r="AA11" s="91"/>
      <c r="AB11" s="91"/>
      <c r="AC11" s="91"/>
      <c r="AD11" s="91"/>
      <c r="AE11" s="91"/>
      <c r="AF11" s="91"/>
      <c r="AG11" s="91"/>
      <c r="AH11" s="91"/>
      <c r="AI11" s="91"/>
      <c r="AJ11" s="91"/>
    </row>
    <row r="12" spans="1:36" s="47" customFormat="1" ht="21.95" customHeight="1" x14ac:dyDescent="0.3">
      <c r="A12" s="240" t="s">
        <v>534</v>
      </c>
      <c r="B12" s="78"/>
      <c r="C12" s="78"/>
      <c r="D12" s="78"/>
      <c r="E12" s="78"/>
      <c r="F12" s="78"/>
      <c r="G12" s="78"/>
      <c r="H12" s="78"/>
      <c r="I12" s="78"/>
      <c r="J12" s="78"/>
      <c r="K12" s="78"/>
      <c r="L12" s="78"/>
      <c r="M12" s="91"/>
      <c r="N12" s="200"/>
      <c r="O12" s="91"/>
      <c r="P12" s="91"/>
      <c r="Q12" s="91"/>
      <c r="R12" s="91"/>
      <c r="S12" s="91"/>
      <c r="T12" s="91"/>
      <c r="U12" s="91"/>
      <c r="V12" s="91"/>
      <c r="W12" s="91"/>
      <c r="X12" s="91"/>
      <c r="Y12" s="91"/>
      <c r="Z12" s="91"/>
      <c r="AA12" s="91"/>
      <c r="AB12" s="91"/>
      <c r="AC12" s="91"/>
      <c r="AD12" s="91"/>
      <c r="AE12" s="91"/>
      <c r="AF12" s="91"/>
      <c r="AG12" s="91"/>
      <c r="AH12" s="91"/>
      <c r="AI12" s="91"/>
      <c r="AJ12" s="91"/>
    </row>
    <row r="13" spans="1:36" s="47" customFormat="1" ht="21.95" customHeight="1" x14ac:dyDescent="0.3">
      <c r="A13" s="191" t="s">
        <v>508</v>
      </c>
      <c r="B13" s="78"/>
      <c r="C13" s="78"/>
      <c r="D13" s="78"/>
      <c r="E13" s="78"/>
      <c r="F13" s="78"/>
      <c r="G13" s="78"/>
      <c r="H13" s="78"/>
      <c r="I13" s="78"/>
      <c r="J13" s="78"/>
      <c r="K13" s="78"/>
      <c r="L13" s="78"/>
      <c r="M13" s="91"/>
      <c r="N13" s="200"/>
      <c r="O13" s="91"/>
      <c r="P13" s="91"/>
      <c r="Q13" s="91"/>
      <c r="R13" s="91"/>
      <c r="S13" s="91"/>
      <c r="T13" s="91"/>
      <c r="U13" s="91"/>
      <c r="V13" s="91"/>
      <c r="W13" s="91"/>
      <c r="X13" s="91"/>
      <c r="Y13" s="91"/>
      <c r="Z13" s="91"/>
      <c r="AA13" s="91"/>
      <c r="AB13" s="91"/>
      <c r="AC13" s="91"/>
      <c r="AD13" s="91"/>
      <c r="AE13" s="91"/>
      <c r="AF13" s="91"/>
      <c r="AG13" s="91"/>
      <c r="AH13" s="91"/>
      <c r="AI13" s="91"/>
      <c r="AJ13" s="91"/>
    </row>
    <row r="14" spans="1:36" s="47" customFormat="1" ht="21.95" customHeight="1" x14ac:dyDescent="0.3">
      <c r="A14" s="191" t="s">
        <v>529</v>
      </c>
      <c r="B14" s="78"/>
      <c r="C14" s="78"/>
      <c r="D14" s="78"/>
      <c r="E14" s="78"/>
      <c r="F14" s="78"/>
      <c r="G14" s="78"/>
      <c r="H14" s="78"/>
      <c r="I14" s="78"/>
      <c r="J14" s="78"/>
      <c r="K14" s="78"/>
      <c r="L14" s="78"/>
      <c r="M14" s="91"/>
      <c r="N14" s="200"/>
      <c r="O14" s="91"/>
      <c r="P14" s="91"/>
      <c r="Q14" s="91"/>
      <c r="R14" s="91"/>
      <c r="S14" s="91"/>
      <c r="T14" s="91"/>
      <c r="U14" s="91"/>
      <c r="V14" s="91"/>
      <c r="W14" s="91"/>
      <c r="X14" s="91"/>
      <c r="Y14" s="91"/>
      <c r="Z14" s="91"/>
      <c r="AA14" s="91"/>
      <c r="AB14" s="91"/>
      <c r="AC14" s="91"/>
      <c r="AD14" s="91"/>
      <c r="AE14" s="91"/>
      <c r="AF14" s="91"/>
      <c r="AG14" s="91"/>
      <c r="AH14" s="91"/>
      <c r="AI14" s="91"/>
      <c r="AJ14" s="91"/>
    </row>
    <row r="15" spans="1:36" s="47" customFormat="1" ht="21.95" customHeight="1" x14ac:dyDescent="0.3">
      <c r="A15" s="191" t="s">
        <v>506</v>
      </c>
      <c r="B15" s="78"/>
      <c r="C15" s="78"/>
      <c r="D15" s="78"/>
      <c r="E15" s="78"/>
      <c r="F15" s="78"/>
      <c r="G15" s="78"/>
      <c r="H15" s="78"/>
      <c r="I15" s="78"/>
      <c r="J15" s="78"/>
      <c r="K15" s="78"/>
      <c r="L15" s="78"/>
      <c r="M15" s="91"/>
      <c r="N15" s="200"/>
      <c r="O15" s="91"/>
      <c r="P15" s="91"/>
      <c r="Q15" s="91"/>
      <c r="R15" s="91"/>
      <c r="S15" s="91"/>
      <c r="T15" s="91"/>
      <c r="U15" s="91"/>
      <c r="V15" s="91"/>
      <c r="W15" s="91"/>
      <c r="X15" s="91"/>
      <c r="Y15" s="91"/>
      <c r="Z15" s="91"/>
      <c r="AA15" s="91"/>
      <c r="AB15" s="91"/>
      <c r="AC15" s="91"/>
      <c r="AD15" s="91"/>
      <c r="AE15" s="91"/>
      <c r="AF15" s="91"/>
      <c r="AG15" s="91"/>
      <c r="AH15" s="91"/>
      <c r="AI15" s="91"/>
      <c r="AJ15" s="91"/>
    </row>
    <row r="16" spans="1:36" s="47" customFormat="1" ht="21.95" customHeight="1" x14ac:dyDescent="0.3">
      <c r="A16" s="191" t="s">
        <v>570</v>
      </c>
      <c r="B16" s="78"/>
      <c r="C16" s="78"/>
      <c r="D16" s="78"/>
      <c r="E16" s="78"/>
      <c r="F16" s="78"/>
      <c r="G16" s="78"/>
      <c r="H16" s="78"/>
      <c r="I16" s="78"/>
      <c r="J16" s="78"/>
      <c r="K16" s="78"/>
      <c r="L16" s="78"/>
      <c r="M16" s="91"/>
      <c r="N16" s="200"/>
      <c r="O16" s="91"/>
      <c r="P16" s="91"/>
      <c r="Q16" s="91"/>
      <c r="R16" s="91"/>
      <c r="S16" s="91"/>
      <c r="T16" s="91"/>
      <c r="U16" s="91"/>
      <c r="V16" s="91"/>
      <c r="W16" s="91"/>
      <c r="X16" s="91"/>
      <c r="Y16" s="91"/>
      <c r="Z16" s="91"/>
      <c r="AA16" s="91"/>
      <c r="AB16" s="91"/>
      <c r="AC16" s="91"/>
      <c r="AD16" s="91"/>
      <c r="AE16" s="91"/>
      <c r="AF16" s="91"/>
      <c r="AG16" s="91"/>
      <c r="AH16" s="91"/>
      <c r="AI16" s="91"/>
      <c r="AJ16" s="91"/>
    </row>
    <row r="17" spans="1:36" s="47" customFormat="1" ht="20.100000000000001" customHeight="1" x14ac:dyDescent="0.25">
      <c r="A17" s="190" t="s">
        <v>492</v>
      </c>
      <c r="B17" s="108"/>
      <c r="C17" s="108"/>
      <c r="D17" s="108"/>
      <c r="E17" s="108"/>
      <c r="F17" s="108"/>
      <c r="G17" s="108"/>
      <c r="H17" s="108"/>
      <c r="I17" s="108"/>
      <c r="J17" s="78"/>
      <c r="K17" s="78"/>
      <c r="L17" s="78"/>
      <c r="M17" s="91"/>
      <c r="N17" s="200"/>
      <c r="O17" s="91"/>
      <c r="P17" s="91"/>
      <c r="Q17" s="91"/>
      <c r="R17" s="91"/>
      <c r="S17" s="91"/>
      <c r="T17" s="91"/>
      <c r="U17" s="91"/>
      <c r="V17" s="91"/>
      <c r="W17" s="91"/>
      <c r="X17" s="91"/>
      <c r="Y17" s="91"/>
      <c r="Z17" s="91"/>
      <c r="AA17" s="91"/>
      <c r="AB17" s="91"/>
      <c r="AC17" s="91"/>
      <c r="AD17" s="91"/>
      <c r="AE17" s="91"/>
      <c r="AF17" s="91"/>
      <c r="AG17" s="91"/>
      <c r="AH17" s="91"/>
      <c r="AI17" s="91"/>
      <c r="AJ17" s="91"/>
    </row>
    <row r="18" spans="1:36" s="47" customFormat="1" ht="20.100000000000001" customHeight="1" x14ac:dyDescent="0.25">
      <c r="A18" s="203" t="s">
        <v>558</v>
      </c>
      <c r="B18" s="108"/>
      <c r="C18" s="108"/>
      <c r="D18" s="108"/>
      <c r="E18" s="108"/>
      <c r="F18" s="108"/>
      <c r="G18" s="108"/>
      <c r="H18" s="108"/>
      <c r="I18" s="108"/>
      <c r="J18" s="78"/>
      <c r="K18" s="78"/>
      <c r="L18" s="78"/>
      <c r="M18" s="91"/>
      <c r="N18" s="200"/>
      <c r="O18" s="91"/>
      <c r="P18" s="91"/>
      <c r="Q18" s="91"/>
      <c r="R18" s="91"/>
      <c r="S18" s="91"/>
      <c r="T18" s="91"/>
      <c r="U18" s="91"/>
      <c r="V18" s="91"/>
      <c r="W18" s="91"/>
      <c r="X18" s="91"/>
      <c r="Y18" s="91"/>
      <c r="Z18" s="91"/>
      <c r="AA18" s="91"/>
      <c r="AB18" s="91"/>
      <c r="AC18" s="91"/>
      <c r="AD18" s="91"/>
      <c r="AE18" s="91"/>
      <c r="AF18" s="91"/>
      <c r="AG18" s="91"/>
      <c r="AH18" s="91"/>
      <c r="AI18" s="91"/>
      <c r="AJ18" s="91"/>
    </row>
    <row r="19" spans="1:36" s="47" customFormat="1" ht="20.100000000000001" customHeight="1" x14ac:dyDescent="0.25">
      <c r="A19" s="113" t="s">
        <v>474</v>
      </c>
      <c r="B19" s="80"/>
      <c r="C19" s="80"/>
      <c r="D19" s="80"/>
      <c r="E19" s="80"/>
      <c r="F19" s="80"/>
      <c r="G19" s="80"/>
      <c r="H19" s="80"/>
      <c r="I19" s="80"/>
      <c r="J19" s="92"/>
      <c r="K19" s="92"/>
      <c r="L19" s="92"/>
      <c r="M19" s="201"/>
      <c r="N19" s="202"/>
      <c r="O19" s="91"/>
      <c r="P19" s="91"/>
      <c r="Q19" s="91"/>
      <c r="R19" s="91"/>
      <c r="S19" s="91"/>
      <c r="T19" s="91"/>
      <c r="U19" s="91"/>
      <c r="V19" s="91"/>
      <c r="W19" s="91"/>
      <c r="X19" s="91"/>
      <c r="Y19" s="91"/>
      <c r="Z19" s="91"/>
      <c r="AA19" s="91"/>
      <c r="AB19" s="91"/>
      <c r="AC19" s="91"/>
      <c r="AD19" s="91"/>
      <c r="AE19" s="91"/>
      <c r="AF19" s="91"/>
      <c r="AG19" s="91"/>
      <c r="AH19" s="91"/>
      <c r="AI19" s="91"/>
      <c r="AJ19" s="91"/>
    </row>
    <row r="20" spans="1:36" ht="15.75" customHeight="1" x14ac:dyDescent="0.25">
      <c r="J20" s="2"/>
      <c r="K20" s="2"/>
      <c r="L20" s="2"/>
    </row>
    <row r="21" spans="1:36" ht="15.75" customHeight="1" x14ac:dyDescent="0.25">
      <c r="J21" s="2"/>
      <c r="K21" s="2"/>
      <c r="L21" s="2"/>
    </row>
    <row r="22" spans="1:36" ht="15.75" x14ac:dyDescent="0.25">
      <c r="A22" s="56" t="s">
        <v>0</v>
      </c>
      <c r="B22" s="57"/>
      <c r="C22" s="57"/>
      <c r="D22" s="57"/>
      <c r="E22" s="58"/>
      <c r="F22" s="2"/>
      <c r="G22" s="2"/>
      <c r="H22" s="2"/>
      <c r="I22" s="2"/>
      <c r="J22" s="2"/>
      <c r="K22" s="2"/>
      <c r="L22" s="2"/>
    </row>
    <row r="23" spans="1:36" ht="15.75" x14ac:dyDescent="0.25">
      <c r="A23" s="56" t="s">
        <v>305</v>
      </c>
      <c r="B23" s="57"/>
      <c r="C23" s="58"/>
      <c r="D23" s="40" t="s">
        <v>306</v>
      </c>
      <c r="E23" s="40" t="s">
        <v>307</v>
      </c>
      <c r="F23" s="19"/>
      <c r="G23" s="19"/>
      <c r="H23" s="19"/>
      <c r="I23" s="19"/>
    </row>
    <row r="24" spans="1:36" ht="18" x14ac:dyDescent="0.25">
      <c r="A24" s="68" t="s">
        <v>476</v>
      </c>
      <c r="B24" s="69"/>
      <c r="C24" s="70"/>
      <c r="D24" s="50" t="s">
        <v>473</v>
      </c>
      <c r="E24" s="51" t="s">
        <v>472</v>
      </c>
      <c r="F24" s="22"/>
      <c r="G24" s="22"/>
      <c r="H24" s="22"/>
      <c r="I24" s="11"/>
    </row>
    <row r="25" spans="1:36" x14ac:dyDescent="0.25">
      <c r="A25" s="59" t="s">
        <v>475</v>
      </c>
      <c r="B25" s="59"/>
      <c r="C25" s="59"/>
      <c r="D25" s="59"/>
      <c r="E25" s="59"/>
      <c r="F25" s="59"/>
      <c r="G25" s="59"/>
      <c r="H25" s="59"/>
      <c r="I25" s="59"/>
    </row>
    <row r="26" spans="1:36" ht="17.25" x14ac:dyDescent="0.25">
      <c r="A26" s="61" t="s">
        <v>564</v>
      </c>
      <c r="B26" s="59"/>
      <c r="C26" s="59"/>
      <c r="D26" s="59"/>
      <c r="E26" s="59"/>
      <c r="F26" s="59"/>
      <c r="G26" s="59"/>
      <c r="H26" s="59"/>
      <c r="I26" s="59"/>
    </row>
    <row r="27" spans="1:36" x14ac:dyDescent="0.25">
      <c r="A27" s="3"/>
    </row>
    <row r="29" spans="1:36" ht="15.75" x14ac:dyDescent="0.25">
      <c r="A29" s="56" t="s">
        <v>12</v>
      </c>
      <c r="B29" s="58"/>
    </row>
    <row r="30" spans="1:36" ht="15.75" x14ac:dyDescent="0.25">
      <c r="A30" s="30" t="s">
        <v>48</v>
      </c>
      <c r="B30" s="51">
        <v>0.04</v>
      </c>
      <c r="C30" s="22"/>
      <c r="D30" s="22"/>
    </row>
    <row r="31" spans="1:36" ht="31.5" x14ac:dyDescent="0.25">
      <c r="A31" s="31" t="s">
        <v>565</v>
      </c>
      <c r="B31" s="136"/>
    </row>
    <row r="32" spans="1:36" ht="18.75" x14ac:dyDescent="0.3">
      <c r="A32" s="32" t="s">
        <v>13</v>
      </c>
      <c r="B32" s="39">
        <f>B30*B31</f>
        <v>0</v>
      </c>
      <c r="C32" s="23"/>
      <c r="D32" s="23"/>
    </row>
    <row r="33" spans="1:12" ht="17.25" customHeight="1" x14ac:dyDescent="0.25">
      <c r="A33" s="61" t="s">
        <v>566</v>
      </c>
      <c r="B33" s="61"/>
      <c r="C33" s="61"/>
      <c r="D33" s="61"/>
      <c r="E33" s="61"/>
      <c r="F33" s="61"/>
      <c r="G33" s="61"/>
      <c r="H33" s="61"/>
      <c r="I33" s="61"/>
    </row>
    <row r="34" spans="1:12" ht="17.25" customHeight="1" x14ac:dyDescent="0.25">
      <c r="A34" s="106" t="s">
        <v>562</v>
      </c>
      <c r="B34" s="61"/>
      <c r="C34" s="61"/>
      <c r="D34" s="61"/>
      <c r="E34" s="61"/>
      <c r="F34" s="61"/>
      <c r="G34" s="61"/>
      <c r="H34" s="61"/>
      <c r="I34" s="61"/>
    </row>
    <row r="37" spans="1:12" ht="31.5" x14ac:dyDescent="0.25">
      <c r="A37" s="105" t="s">
        <v>315</v>
      </c>
      <c r="B37" s="137"/>
    </row>
    <row r="38" spans="1:12" ht="61.5" customHeight="1" x14ac:dyDescent="0.3">
      <c r="A38" s="81" t="s">
        <v>50</v>
      </c>
      <c r="B38" s="138"/>
      <c r="C38" s="2"/>
      <c r="D38" s="2"/>
      <c r="E38" s="9"/>
      <c r="F38" s="2"/>
      <c r="G38" s="2"/>
      <c r="H38" s="21"/>
      <c r="I38" s="21"/>
      <c r="J38" s="21"/>
      <c r="K38" s="21"/>
      <c r="L38" s="21"/>
    </row>
    <row r="39" spans="1:12" ht="28.5" x14ac:dyDescent="0.45">
      <c r="A39" s="12" t="s">
        <v>488</v>
      </c>
      <c r="B39" s="244" t="e">
        <f>B38/B31</f>
        <v>#DIV/0!</v>
      </c>
      <c r="C39" s="239" t="s">
        <v>510</v>
      </c>
      <c r="D39" s="2"/>
      <c r="E39" s="2"/>
      <c r="F39" s="2"/>
      <c r="G39" s="2"/>
      <c r="H39" s="22"/>
      <c r="I39" s="22"/>
      <c r="J39" s="22"/>
      <c r="K39" s="22"/>
      <c r="L39" s="11"/>
    </row>
    <row r="40" spans="1:12" ht="17.25" customHeight="1" x14ac:dyDescent="0.25">
      <c r="A40" s="54" t="s">
        <v>343</v>
      </c>
      <c r="B40" s="54"/>
      <c r="C40" s="54"/>
      <c r="D40" s="54"/>
      <c r="E40" s="54"/>
      <c r="F40" s="54"/>
      <c r="G40" s="54"/>
      <c r="H40" s="54"/>
      <c r="I40" s="54"/>
    </row>
    <row r="41" spans="1:12" ht="15" customHeight="1" x14ac:dyDescent="0.25">
      <c r="A41" s="59" t="s">
        <v>489</v>
      </c>
      <c r="B41" s="59"/>
      <c r="C41" s="59"/>
      <c r="D41" s="59"/>
      <c r="E41" s="59"/>
      <c r="F41" s="59"/>
      <c r="G41" s="59"/>
      <c r="H41" s="59"/>
      <c r="I41" s="59"/>
    </row>
    <row r="42" spans="1:12" x14ac:dyDescent="0.25">
      <c r="A42" s="3"/>
    </row>
    <row r="43" spans="1:12" x14ac:dyDescent="0.25">
      <c r="A43" s="3"/>
    </row>
    <row r="44" spans="1:12" ht="15.75" x14ac:dyDescent="0.25">
      <c r="A44" s="56" t="s">
        <v>446</v>
      </c>
      <c r="B44" s="57"/>
      <c r="C44" s="58"/>
      <c r="D44" s="19"/>
      <c r="E44" s="19"/>
      <c r="F44" s="2"/>
      <c r="G44" s="2"/>
      <c r="H44" s="2"/>
      <c r="I44" s="2"/>
      <c r="J44" s="2"/>
      <c r="K44" s="2"/>
      <c r="L44" s="2"/>
    </row>
    <row r="45" spans="1:12" ht="63" x14ac:dyDescent="0.25">
      <c r="A45" s="93" t="s">
        <v>34</v>
      </c>
      <c r="B45" s="38" t="s">
        <v>447</v>
      </c>
      <c r="C45" s="35" t="s">
        <v>448</v>
      </c>
      <c r="D45" s="2"/>
      <c r="G45" s="2"/>
      <c r="H45" s="2"/>
      <c r="I45" s="2"/>
      <c r="J45" s="2"/>
      <c r="K45" s="2"/>
      <c r="L45" s="2"/>
    </row>
    <row r="46" spans="1:12" ht="15.75" x14ac:dyDescent="0.25">
      <c r="A46" s="36" t="s">
        <v>14</v>
      </c>
      <c r="B46" s="37">
        <f>ROUNDUP(((B38*16)/5), 0)</f>
        <v>0</v>
      </c>
      <c r="C46" s="37">
        <f>ROUNDUP(((B38*13)/5), 0)</f>
        <v>0</v>
      </c>
      <c r="D46" s="87" t="str">
        <f>IF(B38&lt;1.25,A90,"")</f>
        <v>This product is not recommended at the prescribed weekly dose as the cartridge contents will not be completed within the 28 days shelf -life</v>
      </c>
      <c r="G46" s="2"/>
      <c r="H46" s="2"/>
      <c r="I46" s="2"/>
      <c r="J46" s="2"/>
      <c r="K46" s="2"/>
      <c r="L46" s="2"/>
    </row>
    <row r="47" spans="1:12" ht="15.75" x14ac:dyDescent="0.25">
      <c r="A47" s="147" t="s">
        <v>15</v>
      </c>
      <c r="B47" s="148">
        <f>ROUNDUP(((B38*16)/12), 0)</f>
        <v>0</v>
      </c>
      <c r="C47" s="148">
        <f>ROUNDUP(((B38*13)/12), 0)</f>
        <v>0</v>
      </c>
      <c r="D47" s="87" t="str">
        <f>IF(B38&lt;3,A90,"")</f>
        <v>This product is not recommended at the prescribed weekly dose as the cartridge contents will not be completed within the 28 days shelf -life</v>
      </c>
      <c r="G47" s="2"/>
      <c r="H47" s="2"/>
      <c r="I47" s="2"/>
      <c r="J47" s="2"/>
      <c r="K47" s="2"/>
      <c r="L47" s="2"/>
    </row>
    <row r="48" spans="1:12" ht="15.75" x14ac:dyDescent="0.25">
      <c r="A48" s="36" t="s">
        <v>459</v>
      </c>
      <c r="B48" s="44">
        <f>CEILING(B77, 7)</f>
        <v>0</v>
      </c>
      <c r="C48" s="44">
        <f>CEILING(C77, 7)</f>
        <v>0</v>
      </c>
      <c r="D48" s="87" t="str">
        <f>IF((OR(AND($B$37&lt;=6,$B$38&lt;2.4),(AND($B$37=7,$B$38&lt;2.8)))),A91,"")</f>
        <v>This product is not recommended at the prescribed weekly dose as the single use syringes restrict the weekly dose to a minimum of 2.4mg (6 inj/week) and 2.8mg (7 inj/week)</v>
      </c>
      <c r="G48" s="2"/>
      <c r="H48" s="2"/>
      <c r="I48" s="2"/>
      <c r="J48" s="2"/>
      <c r="K48" s="2"/>
      <c r="L48" s="2"/>
    </row>
    <row r="49" spans="1:12" ht="15.75" x14ac:dyDescent="0.25">
      <c r="A49" s="147" t="s">
        <v>438</v>
      </c>
      <c r="B49" s="53">
        <f>CEILING(B78, 7)</f>
        <v>0</v>
      </c>
      <c r="C49" s="53">
        <f>CEILING(C78, 7)</f>
        <v>0</v>
      </c>
      <c r="D49" s="87" t="str">
        <f>IF((OR(AND($B$37&lt;=6,$B$38&lt;3.6),(AND($B$37=7,$B$38&lt;4.2)))),A92,"")</f>
        <v>This product is not recommended at the prescribed weekly dose as the single use syringes restrict the weekly dose to a minimum of 3.6mg (6 inj/week) and 4.2mg (7 inj/week)</v>
      </c>
      <c r="G49" s="2"/>
      <c r="H49" s="2"/>
      <c r="I49" s="2"/>
      <c r="J49" s="2"/>
      <c r="K49" s="2"/>
      <c r="L49" s="2"/>
    </row>
    <row r="50" spans="1:12" ht="15.75" x14ac:dyDescent="0.25">
      <c r="A50" s="36" t="s">
        <v>439</v>
      </c>
      <c r="B50" s="44">
        <f t="shared" ref="B50:C56" si="0">CEILING(B79, 7)</f>
        <v>0</v>
      </c>
      <c r="C50" s="44">
        <f t="shared" si="0"/>
        <v>0</v>
      </c>
      <c r="D50" s="87" t="str">
        <f>IF((OR(AND($B$37&lt;=6,$B$38&lt;4.8),(AND($B$37=7,$B$38&lt;5.6)))),A93,"")</f>
        <v>This product is not recommended at the prescribed weekly dose as the single use syringes restrict the weekly dose to a minimum of 4.8mg (6 inj/week) and 5.6mg (7 inj/week)</v>
      </c>
      <c r="G50" s="2"/>
      <c r="H50" s="2"/>
      <c r="I50" s="2"/>
      <c r="J50" s="2"/>
      <c r="K50" s="2"/>
      <c r="L50" s="2"/>
    </row>
    <row r="51" spans="1:12" ht="15.75" x14ac:dyDescent="0.25">
      <c r="A51" s="147" t="s">
        <v>440</v>
      </c>
      <c r="B51" s="53">
        <f t="shared" si="0"/>
        <v>0</v>
      </c>
      <c r="C51" s="53">
        <f t="shared" si="0"/>
        <v>0</v>
      </c>
      <c r="D51" s="87" t="str">
        <f>IF((OR(AND($B$37&lt;=6,$B$38&lt;6),(AND($B$37=7,$B$38&lt;7)))),A94,"")</f>
        <v>This product is not recommended at the prescribed weekly dose as the single use syringes restrict the weekly dose to a minimum of 6mg (6 inj/week) and 7mg (7 inj/week)</v>
      </c>
      <c r="G51" s="2"/>
      <c r="H51" s="2"/>
      <c r="I51" s="2"/>
      <c r="J51" s="2"/>
      <c r="K51" s="2"/>
      <c r="L51" s="2"/>
    </row>
    <row r="52" spans="1:12" ht="15.75" x14ac:dyDescent="0.25">
      <c r="A52" s="36" t="s">
        <v>441</v>
      </c>
      <c r="B52" s="44">
        <f t="shared" si="0"/>
        <v>0</v>
      </c>
      <c r="C52" s="44">
        <f t="shared" si="0"/>
        <v>0</v>
      </c>
      <c r="D52" s="87" t="str">
        <f>IF((OR(AND($B$37&lt;=6,$B$38&lt;7.2),(AND($B$37=7,$B$38&lt;8.4)))),A95,"")</f>
        <v>This product is not recommended at the prescribed weekly dose as the single use syringes restrict the weekly dose to a minimum of 7.2mg (6 inj/week) and 8.4mg (7 inj/week)</v>
      </c>
      <c r="G52" s="2"/>
      <c r="H52" s="2"/>
      <c r="I52" s="2"/>
      <c r="J52" s="2"/>
      <c r="K52" s="2"/>
      <c r="L52" s="2"/>
    </row>
    <row r="53" spans="1:12" ht="15.75" x14ac:dyDescent="0.25">
      <c r="A53" s="147" t="s">
        <v>442</v>
      </c>
      <c r="B53" s="53">
        <f t="shared" si="0"/>
        <v>0</v>
      </c>
      <c r="C53" s="53">
        <f t="shared" si="0"/>
        <v>0</v>
      </c>
      <c r="D53" s="87" t="str">
        <f>IF((OR(AND($B$37&lt;=6,$B$38&lt;8.4),(AND($B$37=7,$B$38&lt;9.8)))),A96,"")</f>
        <v>This product is not recommended at the prescribed weekly dose as the single use syringes restrict the weekly dose to a minimum of 8.4mg (6 inj/week) and 9.8mg (7 inj/week)</v>
      </c>
      <c r="G53" s="2"/>
      <c r="H53" s="2"/>
      <c r="I53" s="2"/>
      <c r="J53" s="2"/>
      <c r="K53" s="2"/>
      <c r="L53" s="2"/>
    </row>
    <row r="54" spans="1:12" ht="15.75" x14ac:dyDescent="0.25">
      <c r="A54" s="36" t="s">
        <v>443</v>
      </c>
      <c r="B54" s="44">
        <f t="shared" si="0"/>
        <v>0</v>
      </c>
      <c r="C54" s="44">
        <f t="shared" si="0"/>
        <v>0</v>
      </c>
      <c r="D54" s="87" t="str">
        <f>IF((OR(AND($B$37&lt;=6,$B$38&lt;9.6),(AND($B$37=7,$B$38&lt;11.2)))),A97,"")</f>
        <v>This product is not recommended at the prescribed weekly dose as the single use syringes restrict the weekly dose to a minimum of 9.6mg (6 inj/week) and 11.2mg (7 inj/week)</v>
      </c>
      <c r="G54" s="2"/>
      <c r="H54" s="2"/>
      <c r="I54" s="2"/>
      <c r="J54" s="2"/>
      <c r="K54" s="2"/>
      <c r="L54" s="2"/>
    </row>
    <row r="55" spans="1:12" ht="15.75" x14ac:dyDescent="0.25">
      <c r="A55" s="147" t="s">
        <v>444</v>
      </c>
      <c r="B55" s="53">
        <f t="shared" si="0"/>
        <v>0</v>
      </c>
      <c r="C55" s="53">
        <f t="shared" si="0"/>
        <v>0</v>
      </c>
      <c r="D55" s="87" t="str">
        <f>IF((OR(AND($B$37&lt;=6,$B$38&lt;10.8),(AND($B$37=7,$B$38&lt;12.6)))),A98,"")</f>
        <v>This product is not recommended at the prescribed weekly dose as the single use syringes restrict the weekly dose to a minimum of 10.8mg (6 inj/week) and 12.6mg (7 inj/week)</v>
      </c>
      <c r="G55" s="2"/>
      <c r="H55" s="2"/>
      <c r="I55" s="2"/>
      <c r="J55" s="2"/>
      <c r="K55" s="2"/>
      <c r="L55" s="2"/>
    </row>
    <row r="56" spans="1:12" ht="15.75" x14ac:dyDescent="0.25">
      <c r="A56" s="36" t="s">
        <v>445</v>
      </c>
      <c r="B56" s="44">
        <f t="shared" si="0"/>
        <v>0</v>
      </c>
      <c r="C56" s="44">
        <f t="shared" si="0"/>
        <v>0</v>
      </c>
      <c r="D56" s="87" t="str">
        <f>IF((OR(AND($B$37&lt;=6,$B$38&lt;12),(AND($B$37=7,$B$38&lt;14)))),A99,"")</f>
        <v>This product is not recommended at the prescribed weekly dose as the single use syringes restrict the weekly dose to a minimum of 12mg (6 inj/week) and 14mg (7 inj/week)</v>
      </c>
      <c r="G56" s="2"/>
      <c r="H56" s="2"/>
      <c r="I56" s="2"/>
      <c r="J56" s="2"/>
      <c r="K56" s="2"/>
      <c r="L56" s="2"/>
    </row>
    <row r="57" spans="1:12" x14ac:dyDescent="0.25">
      <c r="A57" s="54"/>
      <c r="B57" s="54"/>
      <c r="C57" s="54"/>
      <c r="D57" s="54"/>
      <c r="E57" s="54"/>
      <c r="F57" s="54"/>
      <c r="G57" s="54"/>
      <c r="H57" s="54"/>
      <c r="I57" s="54"/>
    </row>
    <row r="59" spans="1:12" ht="15.75" x14ac:dyDescent="0.25">
      <c r="A59" s="56" t="s">
        <v>376</v>
      </c>
      <c r="B59" s="118"/>
      <c r="C59" s="118"/>
      <c r="D59" s="119"/>
    </row>
    <row r="60" spans="1:12" ht="63" x14ac:dyDescent="0.25">
      <c r="A60" s="115" t="s">
        <v>34</v>
      </c>
      <c r="B60" s="117" t="s">
        <v>382</v>
      </c>
      <c r="C60" s="5" t="s">
        <v>375</v>
      </c>
      <c r="D60" s="5" t="s">
        <v>383</v>
      </c>
    </row>
    <row r="61" spans="1:12" ht="15.75" x14ac:dyDescent="0.25">
      <c r="A61" s="116" t="s">
        <v>14</v>
      </c>
      <c r="B61" s="44" t="s">
        <v>366</v>
      </c>
      <c r="C61" s="44" t="s">
        <v>428</v>
      </c>
      <c r="D61" s="44" t="s">
        <v>418</v>
      </c>
    </row>
    <row r="62" spans="1:12" ht="15.75" x14ac:dyDescent="0.25">
      <c r="A62" s="153" t="s">
        <v>15</v>
      </c>
      <c r="B62" s="53" t="s">
        <v>365</v>
      </c>
      <c r="C62" s="53" t="s">
        <v>427</v>
      </c>
      <c r="D62" s="53" t="s">
        <v>417</v>
      </c>
    </row>
    <row r="63" spans="1:12" ht="15.75" x14ac:dyDescent="0.25">
      <c r="A63" s="116" t="s">
        <v>461</v>
      </c>
      <c r="B63" s="44" t="s">
        <v>463</v>
      </c>
      <c r="C63" s="44" t="s">
        <v>462</v>
      </c>
      <c r="D63" s="44" t="s">
        <v>464</v>
      </c>
    </row>
    <row r="64" spans="1:12" ht="15.75" x14ac:dyDescent="0.25">
      <c r="A64" s="153" t="s">
        <v>16</v>
      </c>
      <c r="B64" s="53" t="s">
        <v>367</v>
      </c>
      <c r="C64" s="53" t="s">
        <v>429</v>
      </c>
      <c r="D64" s="53" t="s">
        <v>419</v>
      </c>
    </row>
    <row r="65" spans="1:4" ht="15.75" x14ac:dyDescent="0.25">
      <c r="A65" s="116" t="s">
        <v>17</v>
      </c>
      <c r="B65" s="44" t="s">
        <v>368</v>
      </c>
      <c r="C65" s="44" t="s">
        <v>430</v>
      </c>
      <c r="D65" s="44" t="s">
        <v>420</v>
      </c>
    </row>
    <row r="66" spans="1:4" ht="15.75" x14ac:dyDescent="0.25">
      <c r="A66" s="153" t="s">
        <v>18</v>
      </c>
      <c r="B66" s="53" t="s">
        <v>369</v>
      </c>
      <c r="C66" s="53" t="s">
        <v>431</v>
      </c>
      <c r="D66" s="53" t="s">
        <v>421</v>
      </c>
    </row>
    <row r="67" spans="1:4" ht="15.75" x14ac:dyDescent="0.25">
      <c r="A67" s="116" t="s">
        <v>19</v>
      </c>
      <c r="B67" s="44" t="s">
        <v>370</v>
      </c>
      <c r="C67" s="44" t="s">
        <v>432</v>
      </c>
      <c r="D67" s="44" t="s">
        <v>422</v>
      </c>
    </row>
    <row r="68" spans="1:4" ht="15.75" x14ac:dyDescent="0.25">
      <c r="A68" s="153" t="s">
        <v>20</v>
      </c>
      <c r="B68" s="53" t="s">
        <v>371</v>
      </c>
      <c r="C68" s="53" t="s">
        <v>433</v>
      </c>
      <c r="D68" s="53" t="s">
        <v>423</v>
      </c>
    </row>
    <row r="69" spans="1:4" ht="15.75" x14ac:dyDescent="0.25">
      <c r="A69" s="116" t="s">
        <v>21</v>
      </c>
      <c r="B69" s="44" t="s">
        <v>372</v>
      </c>
      <c r="C69" s="44" t="s">
        <v>434</v>
      </c>
      <c r="D69" s="44" t="s">
        <v>424</v>
      </c>
    </row>
    <row r="70" spans="1:4" ht="15.75" x14ac:dyDescent="0.25">
      <c r="A70" s="153" t="s">
        <v>22</v>
      </c>
      <c r="B70" s="53" t="s">
        <v>373</v>
      </c>
      <c r="C70" s="53" t="s">
        <v>435</v>
      </c>
      <c r="D70" s="53" t="s">
        <v>425</v>
      </c>
    </row>
    <row r="71" spans="1:4" ht="15.75" x14ac:dyDescent="0.25">
      <c r="A71" s="116" t="s">
        <v>23</v>
      </c>
      <c r="B71" s="44" t="s">
        <v>374</v>
      </c>
      <c r="C71" s="44" t="s">
        <v>436</v>
      </c>
      <c r="D71" s="44" t="s">
        <v>426</v>
      </c>
    </row>
    <row r="76" spans="1:4" ht="63" hidden="1" x14ac:dyDescent="0.25">
      <c r="A76" s="141" t="s">
        <v>34</v>
      </c>
      <c r="B76" s="5" t="s">
        <v>447</v>
      </c>
      <c r="C76" s="140" t="s">
        <v>448</v>
      </c>
    </row>
    <row r="77" spans="1:4" ht="15.75" hidden="1" x14ac:dyDescent="0.25">
      <c r="A77" s="36" t="s">
        <v>459</v>
      </c>
      <c r="B77" s="37">
        <f>ROUNDUP(((B38*16)/0.4), 0)</f>
        <v>0</v>
      </c>
      <c r="C77" s="37">
        <f>ROUNDUP(((B38*13)/0.4), 0)</f>
        <v>0</v>
      </c>
    </row>
    <row r="78" spans="1:4" ht="15.75" hidden="1" x14ac:dyDescent="0.25">
      <c r="A78" s="147" t="s">
        <v>438</v>
      </c>
      <c r="B78" s="148">
        <f>ROUNDUP(((B38*16)/0.6), 0)</f>
        <v>0</v>
      </c>
      <c r="C78" s="148">
        <f>ROUNDUP(((B38*13)/0.6), 0)</f>
        <v>0</v>
      </c>
    </row>
    <row r="79" spans="1:4" ht="15.75" hidden="1" x14ac:dyDescent="0.25">
      <c r="A79" s="36" t="s">
        <v>439</v>
      </c>
      <c r="B79" s="37">
        <f>ROUNDUP(((B38*16)/0.8), 0)</f>
        <v>0</v>
      </c>
      <c r="C79" s="37">
        <f>ROUNDUP(((B38*13)/0.8), 0)</f>
        <v>0</v>
      </c>
    </row>
    <row r="80" spans="1:4" ht="15.75" hidden="1" x14ac:dyDescent="0.25">
      <c r="A80" s="147" t="s">
        <v>440</v>
      </c>
      <c r="B80" s="148">
        <f>ROUNDUP(((B38*16)/1), 0)</f>
        <v>0</v>
      </c>
      <c r="C80" s="148">
        <f>ROUNDUP(((B38*13)/1), 0)</f>
        <v>0</v>
      </c>
    </row>
    <row r="81" spans="1:3" ht="15.75" hidden="1" x14ac:dyDescent="0.25">
      <c r="A81" s="36" t="s">
        <v>441</v>
      </c>
      <c r="B81" s="37">
        <f>ROUNDUP(((B38*16)/1.2), 0)</f>
        <v>0</v>
      </c>
      <c r="C81" s="37">
        <f>ROUNDUP(((B38*13)/1.2), 0)</f>
        <v>0</v>
      </c>
    </row>
    <row r="82" spans="1:3" ht="15.75" hidden="1" x14ac:dyDescent="0.25">
      <c r="A82" s="147" t="s">
        <v>442</v>
      </c>
      <c r="B82" s="148">
        <f>ROUNDUP(((B38*16)/1.4), 0)</f>
        <v>0</v>
      </c>
      <c r="C82" s="148">
        <f>ROUNDUP(((B38*13)/1.4), 0)</f>
        <v>0</v>
      </c>
    </row>
    <row r="83" spans="1:3" ht="15.75" hidden="1" x14ac:dyDescent="0.25">
      <c r="A83" s="36" t="s">
        <v>443</v>
      </c>
      <c r="B83" s="37">
        <f>ROUNDUP(((B38*16)/1.6), 0)</f>
        <v>0</v>
      </c>
      <c r="C83" s="37">
        <f>ROUNDUP(((B38*13)/1.6), 0)</f>
        <v>0</v>
      </c>
    </row>
    <row r="84" spans="1:3" ht="15.75" hidden="1" x14ac:dyDescent="0.25">
      <c r="A84" s="147" t="s">
        <v>444</v>
      </c>
      <c r="B84" s="148">
        <f>ROUNDUP(((B38*16)/1.8), 0)</f>
        <v>0</v>
      </c>
      <c r="C84" s="148">
        <f>ROUNDUP(((B38*13)/1.8), 0)</f>
        <v>0</v>
      </c>
    </row>
    <row r="85" spans="1:3" ht="15.75" hidden="1" x14ac:dyDescent="0.25">
      <c r="A85" s="36" t="s">
        <v>445</v>
      </c>
      <c r="B85" s="37">
        <f>ROUNDUP(((B38*16)/2), 0)</f>
        <v>0</v>
      </c>
      <c r="C85" s="37">
        <f>ROUNDUP(((B38*13)/2), 0)</f>
        <v>0</v>
      </c>
    </row>
    <row r="86" spans="1:3" hidden="1" x14ac:dyDescent="0.25"/>
    <row r="87" spans="1:3" hidden="1" x14ac:dyDescent="0.25"/>
    <row r="88" spans="1:3" hidden="1" x14ac:dyDescent="0.25"/>
    <row r="89" spans="1:3" hidden="1" x14ac:dyDescent="0.25"/>
    <row r="90" spans="1:3" hidden="1" x14ac:dyDescent="0.25">
      <c r="A90" t="s">
        <v>314</v>
      </c>
    </row>
    <row r="91" spans="1:3" hidden="1" x14ac:dyDescent="0.25">
      <c r="A91" t="s">
        <v>460</v>
      </c>
    </row>
    <row r="92" spans="1:3" hidden="1" x14ac:dyDescent="0.25">
      <c r="A92" t="s">
        <v>334</v>
      </c>
    </row>
    <row r="93" spans="1:3" hidden="1" x14ac:dyDescent="0.25">
      <c r="A93" t="s">
        <v>335</v>
      </c>
    </row>
    <row r="94" spans="1:3" hidden="1" x14ac:dyDescent="0.25">
      <c r="A94" t="s">
        <v>336</v>
      </c>
    </row>
    <row r="95" spans="1:3" hidden="1" x14ac:dyDescent="0.25">
      <c r="A95" t="s">
        <v>337</v>
      </c>
    </row>
    <row r="96" spans="1:3" hidden="1" x14ac:dyDescent="0.25">
      <c r="A96" t="s">
        <v>338</v>
      </c>
    </row>
    <row r="97" spans="1:1" hidden="1" x14ac:dyDescent="0.25">
      <c r="A97" t="s">
        <v>339</v>
      </c>
    </row>
    <row r="98" spans="1:1" hidden="1" x14ac:dyDescent="0.25">
      <c r="A98" t="s">
        <v>340</v>
      </c>
    </row>
    <row r="99" spans="1:1" hidden="1" x14ac:dyDescent="0.25">
      <c r="A99" t="s">
        <v>341</v>
      </c>
    </row>
  </sheetData>
  <sheetProtection algorithmName="SHA-256" hashValue="THeDuw7GGUyAi1PkElyTL9t8NQ9dNGQ24qrkQTJP9pA=" saltValue="E95K2+P7oxx2HrdM5K+7vw==" spinCount="100000" sheet="1" objects="1" scenarios="1"/>
  <conditionalFormatting sqref="A46">
    <cfRule type="expression" dxfId="19" priority="21">
      <formula>$B$38&lt;1.25=TRUE</formula>
    </cfRule>
  </conditionalFormatting>
  <conditionalFormatting sqref="A49">
    <cfRule type="expression" dxfId="18" priority="19">
      <formula>OR(AND($B$37&lt;=6,$B$38&lt;3.6),(AND($B$37=7,$B$38&lt;4.2)))</formula>
    </cfRule>
  </conditionalFormatting>
  <conditionalFormatting sqref="A50">
    <cfRule type="expression" dxfId="17" priority="18">
      <formula>OR(AND($B$37&lt;=6,$B$38&lt;4.8),(AND($B$37=7,$B$38&lt;5.6)))</formula>
    </cfRule>
  </conditionalFormatting>
  <conditionalFormatting sqref="A51">
    <cfRule type="expression" dxfId="16" priority="17">
      <formula>OR(AND($B$37&lt;=6,$B$38&lt;6),(AND($B$37=7,$B$38&lt;7)))</formula>
    </cfRule>
  </conditionalFormatting>
  <conditionalFormatting sqref="A52">
    <cfRule type="expression" dxfId="15" priority="16">
      <formula>OR(AND($B$37&lt;=6,$B$38&lt;7.2),(AND($B$37=7,$B$38&lt;8.4)))</formula>
    </cfRule>
  </conditionalFormatting>
  <conditionalFormatting sqref="A53">
    <cfRule type="expression" dxfId="14" priority="15">
      <formula>OR(AND($B$37&lt;=6,$B$38&lt;8.4),(AND($B$37=7,$B$38&lt;9.8)))</formula>
    </cfRule>
  </conditionalFormatting>
  <conditionalFormatting sqref="A54">
    <cfRule type="expression" dxfId="13" priority="14">
      <formula>OR(AND($B$37&lt;=6,$B$38&lt;9.6),(AND($B$37=7,$B$38&lt;11.2)))</formula>
    </cfRule>
  </conditionalFormatting>
  <conditionalFormatting sqref="A55">
    <cfRule type="expression" dxfId="12" priority="13">
      <formula>OR(AND($B$37&lt;=6,$B$38&lt;10.8),(AND($B$37=7,$B$38&lt;12.6)))</formula>
    </cfRule>
  </conditionalFormatting>
  <conditionalFormatting sqref="A56">
    <cfRule type="expression" dxfId="11" priority="12">
      <formula>OR(AND($B$37&lt;=6,$B$38&lt;12),(AND($B$37=7,$B$38&lt;14)))</formula>
    </cfRule>
  </conditionalFormatting>
  <conditionalFormatting sqref="A78">
    <cfRule type="expression" dxfId="10" priority="11">
      <formula>OR(AND($B$37&lt;=6,$B$38&lt;3.6),(AND($B$37=7,$B$38&lt;4.2)))</formula>
    </cfRule>
  </conditionalFormatting>
  <conditionalFormatting sqref="A79">
    <cfRule type="expression" dxfId="9" priority="10">
      <formula>OR(AND($B$37&lt;=6,$B$38&lt;4.8),(AND($B$37=7,$B$38&lt;5.6)))</formula>
    </cfRule>
  </conditionalFormatting>
  <conditionalFormatting sqref="A80">
    <cfRule type="expression" dxfId="8" priority="9">
      <formula>OR(AND($B$37&lt;=6,$B$38&lt;6),(AND($B$37=7,$B$38&lt;7)))</formula>
    </cfRule>
  </conditionalFormatting>
  <conditionalFormatting sqref="A81">
    <cfRule type="expression" dxfId="7" priority="8">
      <formula>OR(AND($B$37&lt;=6,$B$38&lt;7.2),(AND($B$37=7,$B$38&lt;8.4)))</formula>
    </cfRule>
  </conditionalFormatting>
  <conditionalFormatting sqref="A82">
    <cfRule type="expression" dxfId="6" priority="7">
      <formula>OR(AND($B$37&lt;=6,$B$38&lt;8.4),(AND($B$37=7,$B$38&lt;9.8)))</formula>
    </cfRule>
  </conditionalFormatting>
  <conditionalFormatting sqref="A83">
    <cfRule type="expression" dxfId="5" priority="6">
      <formula>OR(AND($B$37&lt;=6,$B$38&lt;9.6),(AND($B$37=7,$B$38&lt;11.2)))</formula>
    </cfRule>
  </conditionalFormatting>
  <conditionalFormatting sqref="A84">
    <cfRule type="expression" dxfId="4" priority="5">
      <formula>OR(AND($B$37&lt;=6,$B$38&lt;10.8),(AND($B$37=7,$B$38&lt;12.6)))</formula>
    </cfRule>
  </conditionalFormatting>
  <conditionalFormatting sqref="A85">
    <cfRule type="expression" dxfId="3" priority="4">
      <formula>OR(AND($B$37&lt;=6,$B$38&lt;12),(AND($B$37=7,$B$38&lt;14)))</formula>
    </cfRule>
  </conditionalFormatting>
  <conditionalFormatting sqref="A48">
    <cfRule type="expression" dxfId="2" priority="3">
      <formula>OR(AND($B$37&lt;=6,$B$38&lt;2.4),(AND($B$37=7,$B$38&lt;2.8)))</formula>
    </cfRule>
  </conditionalFormatting>
  <conditionalFormatting sqref="A47">
    <cfRule type="expression" dxfId="1" priority="2">
      <formula>$B$38&lt;3=TRUE</formula>
    </cfRule>
  </conditionalFormatting>
  <conditionalFormatting sqref="A77">
    <cfRule type="expression" dxfId="0" priority="1">
      <formula>OR(AND($B$37&lt;=6,$B$38&lt;2.4),(AND($B$37=7,$B$38&lt;2.8)))</formula>
    </cfRule>
  </conditionalFormatting>
  <hyperlinks>
    <hyperlink ref="A5" location="'BMI and ideal body weight - PWS'!A1" display="See worksheet 'BMI and ideal body weight - PWS' to determine whether the patient has a BMI above the 85th percentile for age and sex."/>
    <hyperlink ref="A8" location="'BMI and ideal body weight - PWS'!A1" display="See worksheet 'BMI and ideal body weight - PWS' for calculation of ideal body weight."/>
    <hyperlink ref="A34" location="'BMI and ideal body weight - PWS'!A1" display="See worksheet 'BMI and ideal body weight - PWS' for calculation of BMI, determination of whether or not the patient has a BMI above the 85th percentile for age and sex, and calculation of ideal body weight."/>
  </hyperlinks>
  <pageMargins left="0.7" right="0.7" top="0.75" bottom="0.75" header="0.3" footer="0.3"/>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322"/>
  <sheetViews>
    <sheetView workbookViewId="0"/>
  </sheetViews>
  <sheetFormatPr defaultRowHeight="15" x14ac:dyDescent="0.25"/>
  <cols>
    <col min="1" max="1" width="19.28515625" customWidth="1"/>
    <col min="2" max="3" width="39" customWidth="1"/>
    <col min="4" max="4" width="16.7109375" customWidth="1"/>
    <col min="5" max="6" width="33.28515625" customWidth="1"/>
    <col min="7" max="7" width="16.7109375" customWidth="1"/>
    <col min="8" max="9" width="33.28515625" customWidth="1"/>
    <col min="10" max="10" width="16.7109375" customWidth="1"/>
    <col min="11" max="11" width="22.140625" customWidth="1"/>
    <col min="12" max="13" width="33.28515625" customWidth="1"/>
  </cols>
  <sheetData>
    <row r="1" spans="1:24" ht="23.25" x14ac:dyDescent="0.35">
      <c r="A1" s="55" t="s">
        <v>538</v>
      </c>
      <c r="B1" s="55"/>
      <c r="C1" s="55"/>
      <c r="D1" s="55"/>
      <c r="E1" s="55"/>
      <c r="F1" s="55"/>
      <c r="G1" s="55"/>
      <c r="H1" s="55"/>
      <c r="I1" s="55"/>
    </row>
    <row r="2" spans="1:24" ht="20.100000000000001" customHeight="1" x14ac:dyDescent="0.25">
      <c r="A2" s="86"/>
    </row>
    <row r="3" spans="1:24" ht="15.75" x14ac:dyDescent="0.25">
      <c r="A3" s="76" t="s">
        <v>42</v>
      </c>
      <c r="B3" s="88"/>
      <c r="C3" s="88"/>
      <c r="D3" s="88"/>
      <c r="E3" s="88"/>
      <c r="F3" s="88"/>
      <c r="G3" s="88"/>
      <c r="H3" s="224"/>
      <c r="I3" s="15"/>
      <c r="J3" s="11"/>
      <c r="K3" s="11"/>
      <c r="L3" s="11"/>
      <c r="M3" s="11"/>
      <c r="N3" s="11"/>
      <c r="O3" s="11"/>
      <c r="P3" s="11"/>
      <c r="Q3" s="11"/>
      <c r="R3" s="11"/>
      <c r="S3" s="11"/>
      <c r="T3" s="11"/>
      <c r="U3" s="11"/>
      <c r="V3" s="11"/>
      <c r="W3" s="11"/>
      <c r="X3" s="11"/>
    </row>
    <row r="4" spans="1:24" s="223" customFormat="1" ht="21.95" customHeight="1" x14ac:dyDescent="0.25">
      <c r="A4" s="192" t="s">
        <v>500</v>
      </c>
      <c r="B4" s="193"/>
      <c r="C4" s="193"/>
      <c r="D4" s="193"/>
      <c r="E4" s="193"/>
      <c r="F4" s="193"/>
      <c r="G4" s="193"/>
      <c r="H4" s="225"/>
      <c r="I4" s="193"/>
      <c r="J4" s="222"/>
      <c r="K4" s="222"/>
      <c r="L4" s="222"/>
      <c r="M4" s="222"/>
      <c r="N4" s="222"/>
      <c r="O4" s="222"/>
      <c r="P4" s="222"/>
      <c r="Q4" s="222"/>
      <c r="R4" s="222"/>
      <c r="S4" s="222"/>
      <c r="T4" s="222"/>
      <c r="U4" s="222"/>
      <c r="V4" s="222"/>
      <c r="W4" s="222"/>
      <c r="X4" s="222"/>
    </row>
    <row r="5" spans="1:24" s="223" customFormat="1" ht="21.95" customHeight="1" x14ac:dyDescent="0.25">
      <c r="A5" s="192" t="s">
        <v>501</v>
      </c>
      <c r="B5" s="193"/>
      <c r="C5" s="193"/>
      <c r="D5" s="193"/>
      <c r="E5" s="193"/>
      <c r="F5" s="193"/>
      <c r="G5" s="193"/>
      <c r="H5" s="225"/>
      <c r="I5" s="193"/>
      <c r="J5" s="222"/>
      <c r="K5" s="222"/>
      <c r="L5" s="222"/>
      <c r="M5" s="222"/>
      <c r="N5" s="222"/>
      <c r="O5" s="222"/>
      <c r="P5" s="222"/>
      <c r="Q5" s="222"/>
      <c r="R5" s="222"/>
      <c r="S5" s="222"/>
      <c r="T5" s="222"/>
      <c r="U5" s="222"/>
      <c r="V5" s="222"/>
      <c r="W5" s="222"/>
      <c r="X5" s="222"/>
    </row>
    <row r="6" spans="1:24" s="223" customFormat="1" ht="21.95" customHeight="1" x14ac:dyDescent="0.25">
      <c r="A6" s="192" t="s">
        <v>502</v>
      </c>
      <c r="B6" s="193"/>
      <c r="C6" s="193"/>
      <c r="D6" s="222"/>
      <c r="E6" s="193"/>
      <c r="F6" s="193"/>
      <c r="G6" s="193"/>
      <c r="H6" s="225"/>
      <c r="I6" s="193"/>
      <c r="J6" s="222"/>
      <c r="K6" s="222"/>
      <c r="L6" s="222"/>
      <c r="M6" s="222"/>
      <c r="N6" s="222"/>
      <c r="O6" s="222"/>
      <c r="P6" s="222"/>
      <c r="Q6" s="222"/>
      <c r="R6" s="222"/>
      <c r="S6" s="222"/>
      <c r="T6" s="222"/>
      <c r="U6" s="222"/>
      <c r="V6" s="222"/>
      <c r="W6" s="222"/>
      <c r="X6" s="222"/>
    </row>
    <row r="7" spans="1:24" s="223" customFormat="1" ht="21.95" customHeight="1" x14ac:dyDescent="0.25">
      <c r="A7" s="192" t="s">
        <v>503</v>
      </c>
      <c r="B7" s="193"/>
      <c r="C7" s="193"/>
      <c r="D7" s="193"/>
      <c r="E7" s="193"/>
      <c r="F7" s="193"/>
      <c r="G7" s="193"/>
      <c r="H7" s="225"/>
      <c r="I7" s="193"/>
      <c r="J7" s="222"/>
      <c r="K7" s="222"/>
      <c r="L7" s="222"/>
      <c r="M7" s="222"/>
      <c r="N7" s="222"/>
      <c r="O7" s="222"/>
      <c r="P7" s="222"/>
      <c r="Q7" s="222"/>
      <c r="R7" s="222"/>
      <c r="S7" s="222"/>
      <c r="T7" s="222"/>
      <c r="U7" s="222"/>
      <c r="V7" s="222"/>
      <c r="W7" s="222"/>
      <c r="X7" s="222"/>
    </row>
    <row r="8" spans="1:24" s="223" customFormat="1" ht="21.95" customHeight="1" x14ac:dyDescent="0.25">
      <c r="A8" s="192" t="s">
        <v>504</v>
      </c>
      <c r="B8" s="193"/>
      <c r="C8" s="193"/>
      <c r="D8" s="222"/>
      <c r="E8" s="193"/>
      <c r="F8" s="193"/>
      <c r="G8" s="193"/>
      <c r="H8" s="225"/>
      <c r="I8" s="193"/>
      <c r="J8" s="222"/>
      <c r="K8" s="222"/>
      <c r="L8" s="222"/>
      <c r="M8" s="222"/>
      <c r="N8" s="222"/>
      <c r="O8" s="222"/>
      <c r="P8" s="222"/>
      <c r="Q8" s="222"/>
      <c r="R8" s="222"/>
      <c r="S8" s="222"/>
      <c r="T8" s="222"/>
      <c r="U8" s="222"/>
      <c r="V8" s="222"/>
      <c r="W8" s="222"/>
      <c r="X8" s="222"/>
    </row>
    <row r="9" spans="1:24" s="223" customFormat="1" ht="21.95" customHeight="1" x14ac:dyDescent="0.25">
      <c r="A9" s="192" t="s">
        <v>539</v>
      </c>
      <c r="B9" s="193"/>
      <c r="C9" s="193"/>
      <c r="D9" s="193"/>
      <c r="E9" s="193"/>
      <c r="F9" s="193"/>
      <c r="G9" s="193"/>
      <c r="H9" s="225"/>
      <c r="I9" s="193"/>
      <c r="J9" s="222"/>
      <c r="K9" s="222"/>
      <c r="L9" s="222"/>
      <c r="M9" s="222"/>
      <c r="N9" s="222"/>
      <c r="O9" s="222"/>
      <c r="P9" s="222"/>
      <c r="Q9" s="222"/>
      <c r="R9" s="222"/>
      <c r="S9" s="222"/>
      <c r="T9" s="222"/>
      <c r="U9" s="222"/>
      <c r="V9" s="222"/>
      <c r="W9" s="222"/>
      <c r="X9" s="222"/>
    </row>
    <row r="10" spans="1:24" s="223" customFormat="1" ht="21.95" customHeight="1" x14ac:dyDescent="0.25">
      <c r="A10" s="192" t="s">
        <v>490</v>
      </c>
      <c r="B10" s="193"/>
      <c r="C10" s="193"/>
      <c r="D10" s="193"/>
      <c r="E10" s="193"/>
      <c r="F10" s="193"/>
      <c r="G10" s="193"/>
      <c r="H10" s="225"/>
      <c r="I10" s="193"/>
      <c r="J10" s="222"/>
      <c r="K10" s="222"/>
      <c r="L10" s="222"/>
      <c r="M10" s="222"/>
      <c r="N10" s="222"/>
      <c r="O10" s="222"/>
      <c r="P10" s="222"/>
      <c r="Q10" s="222"/>
      <c r="R10" s="222"/>
      <c r="S10" s="222"/>
      <c r="T10" s="222"/>
      <c r="U10" s="222"/>
      <c r="V10" s="222"/>
      <c r="W10" s="222"/>
      <c r="X10" s="222"/>
    </row>
    <row r="11" spans="1:24" s="223" customFormat="1" ht="21.95" customHeight="1" x14ac:dyDescent="0.25">
      <c r="A11" s="192" t="s">
        <v>567</v>
      </c>
      <c r="B11" s="193"/>
      <c r="C11" s="193"/>
      <c r="D11" s="193"/>
      <c r="E11" s="193"/>
      <c r="F11" s="193"/>
      <c r="G11" s="193"/>
      <c r="H11" s="225"/>
      <c r="I11" s="193"/>
      <c r="J11" s="222"/>
      <c r="K11" s="222"/>
      <c r="L11" s="222"/>
      <c r="M11" s="222"/>
      <c r="N11" s="222"/>
      <c r="O11" s="222"/>
      <c r="P11" s="222"/>
      <c r="Q11" s="222"/>
      <c r="R11" s="222"/>
      <c r="S11" s="222"/>
      <c r="T11" s="222"/>
      <c r="U11" s="222"/>
      <c r="V11" s="222"/>
      <c r="W11" s="222"/>
      <c r="X11" s="222"/>
    </row>
    <row r="12" spans="1:24" s="223" customFormat="1" ht="21.95" customHeight="1" x14ac:dyDescent="0.25">
      <c r="A12" s="192"/>
      <c r="B12" s="193"/>
      <c r="C12" s="193"/>
      <c r="D12" s="193"/>
      <c r="E12" s="193"/>
      <c r="F12" s="193"/>
      <c r="G12" s="193"/>
      <c r="H12" s="225"/>
      <c r="I12" s="193"/>
      <c r="J12" s="222"/>
      <c r="K12" s="222"/>
      <c r="L12" s="222"/>
      <c r="M12" s="222"/>
      <c r="N12" s="222"/>
      <c r="O12" s="222"/>
      <c r="P12" s="222"/>
      <c r="Q12" s="222"/>
      <c r="R12" s="222"/>
      <c r="S12" s="222"/>
      <c r="T12" s="222"/>
      <c r="U12" s="222"/>
      <c r="V12" s="222"/>
      <c r="W12" s="222"/>
      <c r="X12" s="222"/>
    </row>
    <row r="13" spans="1:24" s="223" customFormat="1" ht="21.95" customHeight="1" x14ac:dyDescent="0.25">
      <c r="A13" s="192" t="s">
        <v>568</v>
      </c>
      <c r="B13" s="193"/>
      <c r="C13" s="193"/>
      <c r="D13" s="193"/>
      <c r="E13" s="193"/>
      <c r="F13" s="193"/>
      <c r="G13" s="193"/>
      <c r="H13" s="225"/>
      <c r="I13" s="193"/>
      <c r="J13" s="222"/>
      <c r="K13" s="222"/>
      <c r="L13" s="222"/>
      <c r="M13" s="222"/>
      <c r="N13" s="222"/>
      <c r="O13" s="222"/>
      <c r="P13" s="222"/>
      <c r="Q13" s="222"/>
      <c r="R13" s="222"/>
      <c r="S13" s="222"/>
      <c r="T13" s="222"/>
      <c r="U13" s="222"/>
      <c r="V13" s="222"/>
      <c r="W13" s="222"/>
      <c r="X13" s="222"/>
    </row>
    <row r="14" spans="1:24" s="223" customFormat="1" ht="21.95" customHeight="1" x14ac:dyDescent="0.25">
      <c r="A14" s="226" t="s">
        <v>540</v>
      </c>
      <c r="B14" s="193"/>
      <c r="C14" s="193"/>
      <c r="D14" s="193"/>
      <c r="E14" s="193"/>
      <c r="F14" s="193"/>
      <c r="G14" s="193"/>
      <c r="H14" s="225"/>
      <c r="I14" s="193"/>
      <c r="J14" s="222"/>
      <c r="K14" s="222"/>
      <c r="L14" s="222"/>
      <c r="M14" s="222"/>
      <c r="N14" s="222"/>
      <c r="O14" s="222"/>
      <c r="P14" s="222"/>
      <c r="Q14" s="222"/>
      <c r="R14" s="222"/>
      <c r="S14" s="222"/>
      <c r="T14" s="222"/>
      <c r="U14" s="222"/>
      <c r="V14" s="222"/>
      <c r="W14" s="222"/>
      <c r="X14" s="222"/>
    </row>
    <row r="15" spans="1:24" s="223" customFormat="1" ht="21.95" customHeight="1" x14ac:dyDescent="0.25">
      <c r="A15" s="226" t="s">
        <v>541</v>
      </c>
      <c r="B15" s="193"/>
      <c r="C15" s="193"/>
      <c r="D15" s="193"/>
      <c r="E15" s="193"/>
      <c r="F15" s="193"/>
      <c r="G15" s="193"/>
      <c r="H15" s="225"/>
      <c r="I15" s="193"/>
      <c r="J15" s="222"/>
      <c r="K15" s="222"/>
      <c r="L15" s="222"/>
      <c r="M15" s="222"/>
      <c r="N15" s="222"/>
      <c r="O15" s="222"/>
      <c r="P15" s="222"/>
      <c r="Q15" s="222"/>
      <c r="R15" s="222"/>
      <c r="S15" s="222"/>
      <c r="T15" s="222"/>
      <c r="U15" s="222"/>
      <c r="V15" s="222"/>
      <c r="W15" s="222"/>
      <c r="X15" s="222"/>
    </row>
    <row r="16" spans="1:24" s="223" customFormat="1" ht="21.95" customHeight="1" x14ac:dyDescent="0.25">
      <c r="A16" s="226"/>
      <c r="B16" s="193"/>
      <c r="C16" s="193"/>
      <c r="D16" s="193"/>
      <c r="E16" s="193"/>
      <c r="F16" s="193"/>
      <c r="G16" s="193"/>
      <c r="H16" s="225"/>
      <c r="I16" s="193"/>
      <c r="J16" s="222"/>
      <c r="K16" s="222"/>
      <c r="L16" s="222"/>
      <c r="M16" s="222"/>
      <c r="N16" s="222"/>
      <c r="O16" s="222"/>
      <c r="P16" s="222"/>
      <c r="Q16" s="222"/>
      <c r="R16" s="222"/>
      <c r="S16" s="222"/>
      <c r="T16" s="222"/>
      <c r="U16" s="222"/>
      <c r="V16" s="222"/>
      <c r="W16" s="222"/>
      <c r="X16" s="222"/>
    </row>
    <row r="17" spans="1:24" s="223" customFormat="1" ht="21.95" customHeight="1" x14ac:dyDescent="0.25">
      <c r="A17" s="227" t="s">
        <v>569</v>
      </c>
      <c r="B17" s="193"/>
      <c r="C17" s="193"/>
      <c r="D17" s="193"/>
      <c r="E17" s="193"/>
      <c r="F17" s="193"/>
      <c r="G17" s="193"/>
      <c r="H17" s="225"/>
      <c r="I17" s="193"/>
      <c r="J17" s="222"/>
      <c r="K17" s="222"/>
      <c r="L17" s="222"/>
      <c r="M17" s="222"/>
      <c r="N17" s="222"/>
      <c r="O17" s="222"/>
      <c r="P17" s="222"/>
      <c r="Q17" s="222"/>
      <c r="R17" s="222"/>
      <c r="S17" s="222"/>
      <c r="T17" s="222"/>
      <c r="U17" s="222"/>
      <c r="V17" s="222"/>
      <c r="W17" s="222"/>
      <c r="X17" s="222"/>
    </row>
    <row r="18" spans="1:24" s="223" customFormat="1" ht="21.95" customHeight="1" x14ac:dyDescent="0.25">
      <c r="A18" s="228" t="s">
        <v>543</v>
      </c>
      <c r="B18" s="193"/>
      <c r="C18" s="193"/>
      <c r="D18" s="193"/>
      <c r="E18" s="193"/>
      <c r="F18" s="193"/>
      <c r="G18" s="193"/>
      <c r="H18" s="225"/>
      <c r="I18" s="193"/>
      <c r="J18" s="222"/>
      <c r="K18" s="222"/>
      <c r="L18" s="222"/>
      <c r="M18" s="222"/>
      <c r="N18" s="222"/>
      <c r="O18" s="222"/>
      <c r="P18" s="222"/>
      <c r="Q18" s="222"/>
      <c r="R18" s="222"/>
      <c r="S18" s="222"/>
      <c r="T18" s="222"/>
      <c r="U18" s="222"/>
      <c r="V18" s="222"/>
      <c r="W18" s="222"/>
      <c r="X18" s="222"/>
    </row>
    <row r="19" spans="1:24" s="223" customFormat="1" ht="21.95" customHeight="1" x14ac:dyDescent="0.25">
      <c r="A19" s="228" t="s">
        <v>542</v>
      </c>
      <c r="B19" s="193"/>
      <c r="C19" s="193"/>
      <c r="D19" s="193"/>
      <c r="E19" s="193"/>
      <c r="F19" s="193"/>
      <c r="G19" s="193"/>
      <c r="H19" s="225"/>
      <c r="I19" s="193"/>
      <c r="J19" s="222"/>
      <c r="K19" s="222"/>
      <c r="L19" s="222"/>
      <c r="M19" s="222"/>
      <c r="N19" s="222"/>
      <c r="O19" s="222"/>
      <c r="P19" s="222"/>
      <c r="Q19" s="222"/>
      <c r="R19" s="222"/>
      <c r="S19" s="222"/>
      <c r="T19" s="222"/>
      <c r="U19" s="222"/>
      <c r="V19" s="222"/>
      <c r="W19" s="222"/>
      <c r="X19" s="222"/>
    </row>
    <row r="20" spans="1:24" s="223" customFormat="1" ht="21.95" customHeight="1" x14ac:dyDescent="0.25">
      <c r="A20" s="229"/>
      <c r="B20" s="193"/>
      <c r="C20" s="193"/>
      <c r="D20" s="193"/>
      <c r="E20" s="193"/>
      <c r="F20" s="193"/>
      <c r="G20" s="193"/>
      <c r="H20" s="225"/>
      <c r="I20" s="193"/>
      <c r="J20" s="222"/>
      <c r="K20" s="222"/>
      <c r="L20" s="222"/>
      <c r="M20" s="222"/>
      <c r="N20" s="222"/>
      <c r="O20" s="222"/>
      <c r="P20" s="222"/>
      <c r="Q20" s="222"/>
      <c r="R20" s="222"/>
      <c r="S20" s="222"/>
      <c r="T20" s="222"/>
      <c r="U20" s="222"/>
      <c r="V20" s="222"/>
      <c r="W20" s="222"/>
      <c r="X20" s="222"/>
    </row>
    <row r="21" spans="1:24" s="223" customFormat="1" ht="21.95" customHeight="1" x14ac:dyDescent="0.25">
      <c r="A21" s="230" t="s">
        <v>498</v>
      </c>
      <c r="B21" s="193"/>
      <c r="C21" s="193"/>
      <c r="D21" s="193"/>
      <c r="E21" s="193"/>
      <c r="F21" s="193"/>
      <c r="G21" s="193"/>
      <c r="H21" s="225"/>
      <c r="I21" s="193"/>
      <c r="J21" s="222"/>
      <c r="K21" s="222"/>
      <c r="L21" s="222"/>
      <c r="M21" s="222"/>
      <c r="N21" s="222"/>
      <c r="O21" s="222"/>
      <c r="P21" s="222"/>
      <c r="Q21" s="222"/>
      <c r="R21" s="222"/>
      <c r="S21" s="222"/>
      <c r="T21" s="222"/>
      <c r="U21" s="222"/>
      <c r="V21" s="222"/>
      <c r="W21" s="222"/>
      <c r="X21" s="222"/>
    </row>
    <row r="22" spans="1:24" s="223" customFormat="1" ht="21.95" customHeight="1" x14ac:dyDescent="0.25">
      <c r="A22" s="228" t="s">
        <v>544</v>
      </c>
      <c r="B22" s="193"/>
      <c r="C22" s="193"/>
      <c r="D22" s="193"/>
      <c r="E22" s="193"/>
      <c r="F22" s="193"/>
      <c r="G22" s="193"/>
      <c r="H22" s="225"/>
      <c r="I22" s="193"/>
      <c r="J22" s="222"/>
      <c r="K22" s="222"/>
      <c r="L22" s="222"/>
      <c r="M22" s="222"/>
      <c r="N22" s="222"/>
      <c r="O22" s="222"/>
      <c r="P22" s="222"/>
      <c r="Q22" s="222"/>
      <c r="R22" s="222"/>
      <c r="S22" s="222"/>
      <c r="T22" s="222"/>
      <c r="U22" s="222"/>
      <c r="V22" s="222"/>
      <c r="W22" s="222"/>
      <c r="X22" s="222"/>
    </row>
    <row r="23" spans="1:24" s="223" customFormat="1" ht="21.95" customHeight="1" x14ac:dyDescent="0.25">
      <c r="A23" s="231" t="s">
        <v>545</v>
      </c>
      <c r="B23" s="193"/>
      <c r="C23" s="193"/>
      <c r="D23" s="193"/>
      <c r="E23" s="193"/>
      <c r="F23" s="193"/>
      <c r="G23" s="193"/>
      <c r="H23" s="225"/>
      <c r="I23" s="193"/>
      <c r="J23" s="222"/>
      <c r="K23" s="222"/>
      <c r="L23" s="222"/>
      <c r="M23" s="222"/>
      <c r="N23" s="222"/>
      <c r="O23" s="222"/>
      <c r="P23" s="222"/>
      <c r="Q23" s="222"/>
      <c r="R23" s="222"/>
      <c r="S23" s="222"/>
      <c r="T23" s="222"/>
      <c r="U23" s="222"/>
      <c r="V23" s="222"/>
      <c r="W23" s="222"/>
      <c r="X23" s="222"/>
    </row>
    <row r="24" spans="1:24" s="223" customFormat="1" ht="21.95" customHeight="1" x14ac:dyDescent="0.25">
      <c r="A24" s="232" t="s">
        <v>499</v>
      </c>
      <c r="B24" s="193"/>
      <c r="C24" s="193"/>
      <c r="D24" s="193"/>
      <c r="E24" s="193"/>
      <c r="F24" s="193"/>
      <c r="G24" s="193"/>
      <c r="H24" s="225"/>
      <c r="I24" s="193"/>
      <c r="J24" s="222"/>
      <c r="K24" s="222"/>
      <c r="L24" s="222"/>
      <c r="M24" s="222"/>
      <c r="N24" s="222"/>
      <c r="O24" s="222"/>
      <c r="P24" s="222"/>
      <c r="Q24" s="222"/>
      <c r="R24" s="222"/>
      <c r="S24" s="222"/>
      <c r="T24" s="222"/>
      <c r="U24" s="222"/>
      <c r="V24" s="222"/>
      <c r="W24" s="222"/>
      <c r="X24" s="222"/>
    </row>
    <row r="25" spans="1:24" s="223" customFormat="1" ht="21.95" customHeight="1" x14ac:dyDescent="0.25">
      <c r="A25" s="226" t="s">
        <v>548</v>
      </c>
      <c r="B25" s="193"/>
      <c r="C25" s="193"/>
      <c r="D25" s="193"/>
      <c r="E25" s="193"/>
      <c r="F25" s="193"/>
      <c r="G25" s="193"/>
      <c r="H25" s="225"/>
      <c r="I25" s="193"/>
      <c r="J25" s="222"/>
      <c r="K25" s="222"/>
      <c r="L25" s="222"/>
      <c r="M25" s="222"/>
      <c r="N25" s="222"/>
      <c r="O25" s="222"/>
      <c r="P25" s="222"/>
      <c r="Q25" s="222"/>
      <c r="R25" s="222"/>
      <c r="S25" s="222"/>
      <c r="T25" s="222"/>
      <c r="U25" s="222"/>
      <c r="V25" s="222"/>
      <c r="W25" s="222"/>
      <c r="X25" s="222"/>
    </row>
    <row r="26" spans="1:24" s="223" customFormat="1" ht="21.95" customHeight="1" x14ac:dyDescent="0.25">
      <c r="A26" s="226" t="s">
        <v>549</v>
      </c>
      <c r="B26" s="193"/>
      <c r="C26" s="193"/>
      <c r="D26" s="193"/>
      <c r="E26" s="193"/>
      <c r="F26" s="193"/>
      <c r="G26" s="193"/>
      <c r="H26" s="225"/>
      <c r="I26" s="193"/>
      <c r="J26" s="222"/>
      <c r="K26" s="222"/>
      <c r="L26" s="222"/>
      <c r="M26" s="222"/>
      <c r="N26" s="222"/>
      <c r="O26" s="222"/>
      <c r="P26" s="222"/>
      <c r="Q26" s="222"/>
      <c r="R26" s="222"/>
      <c r="S26" s="222"/>
      <c r="T26" s="222"/>
      <c r="U26" s="222"/>
      <c r="V26" s="222"/>
      <c r="W26" s="222"/>
      <c r="X26" s="222"/>
    </row>
    <row r="27" spans="1:24" s="223" customFormat="1" ht="21.95" customHeight="1" x14ac:dyDescent="0.25">
      <c r="A27" s="233"/>
      <c r="B27" s="193"/>
      <c r="C27" s="193"/>
      <c r="D27" s="193"/>
      <c r="E27" s="193"/>
      <c r="F27" s="193"/>
      <c r="G27" s="193"/>
      <c r="H27" s="225"/>
      <c r="I27" s="193"/>
      <c r="J27" s="222"/>
      <c r="K27" s="222"/>
      <c r="L27" s="222"/>
      <c r="M27" s="222"/>
      <c r="N27" s="222"/>
      <c r="O27" s="222"/>
      <c r="P27" s="222"/>
      <c r="Q27" s="222"/>
      <c r="R27" s="222"/>
      <c r="S27" s="222"/>
      <c r="T27" s="222"/>
      <c r="U27" s="222"/>
      <c r="V27" s="222"/>
      <c r="W27" s="222"/>
      <c r="X27" s="222"/>
    </row>
    <row r="28" spans="1:24" s="223" customFormat="1" ht="21.95" customHeight="1" x14ac:dyDescent="0.25">
      <c r="A28" s="234" t="s">
        <v>497</v>
      </c>
      <c r="B28" s="193"/>
      <c r="C28" s="193"/>
      <c r="D28" s="193"/>
      <c r="E28" s="193"/>
      <c r="F28" s="193"/>
      <c r="G28" s="193"/>
      <c r="H28" s="225"/>
      <c r="I28" s="193"/>
      <c r="J28" s="222"/>
      <c r="K28" s="222"/>
      <c r="L28" s="222"/>
      <c r="M28" s="222"/>
      <c r="N28" s="222"/>
      <c r="O28" s="222"/>
      <c r="P28" s="222"/>
      <c r="Q28" s="222"/>
      <c r="R28" s="222"/>
      <c r="S28" s="222"/>
      <c r="T28" s="222"/>
      <c r="U28" s="222"/>
      <c r="V28" s="222"/>
      <c r="W28" s="222"/>
      <c r="X28" s="222"/>
    </row>
    <row r="29" spans="1:24" s="223" customFormat="1" ht="21.95" customHeight="1" x14ac:dyDescent="0.25">
      <c r="A29" s="227" t="s">
        <v>505</v>
      </c>
      <c r="B29" s="193"/>
      <c r="C29" s="193"/>
      <c r="D29" s="193"/>
      <c r="E29" s="193"/>
      <c r="F29" s="193"/>
      <c r="G29" s="193"/>
      <c r="H29" s="225"/>
      <c r="I29" s="193"/>
      <c r="J29" s="222"/>
      <c r="K29" s="222"/>
      <c r="L29" s="222"/>
      <c r="M29" s="222"/>
      <c r="N29" s="222"/>
      <c r="O29" s="222"/>
      <c r="P29" s="222"/>
      <c r="Q29" s="222"/>
      <c r="R29" s="222"/>
      <c r="S29" s="222"/>
      <c r="T29" s="222"/>
      <c r="U29" s="222"/>
      <c r="V29" s="222"/>
      <c r="W29" s="222"/>
      <c r="X29" s="222"/>
    </row>
    <row r="30" spans="1:24" s="223" customFormat="1" ht="21.95" customHeight="1" x14ac:dyDescent="0.25">
      <c r="A30" s="227" t="s">
        <v>550</v>
      </c>
      <c r="B30" s="193"/>
      <c r="C30" s="193"/>
      <c r="D30" s="193"/>
      <c r="E30" s="193"/>
      <c r="F30" s="193"/>
      <c r="G30" s="193"/>
      <c r="H30" s="225"/>
      <c r="I30" s="193"/>
      <c r="J30" s="222"/>
      <c r="K30" s="222"/>
      <c r="L30" s="222"/>
      <c r="M30" s="222"/>
      <c r="N30" s="222"/>
      <c r="O30" s="222"/>
      <c r="P30" s="222"/>
      <c r="Q30" s="222"/>
      <c r="R30" s="222"/>
      <c r="S30" s="222"/>
      <c r="T30" s="222"/>
      <c r="U30" s="222"/>
      <c r="V30" s="222"/>
      <c r="W30" s="222"/>
      <c r="X30" s="222"/>
    </row>
    <row r="31" spans="1:24" s="47" customFormat="1" ht="21.95" customHeight="1" x14ac:dyDescent="0.25">
      <c r="A31" s="227" t="s">
        <v>551</v>
      </c>
      <c r="B31" s="78"/>
      <c r="C31" s="78"/>
      <c r="D31" s="78"/>
      <c r="E31" s="78"/>
      <c r="F31" s="78"/>
      <c r="G31" s="78"/>
      <c r="H31" s="79"/>
      <c r="I31" s="78"/>
      <c r="J31" s="91"/>
      <c r="K31" s="91"/>
      <c r="L31" s="91"/>
      <c r="M31" s="91"/>
      <c r="N31" s="91"/>
      <c r="O31" s="91"/>
      <c r="P31" s="91"/>
      <c r="Q31" s="91"/>
      <c r="R31" s="91"/>
      <c r="S31" s="91"/>
      <c r="T31" s="91"/>
      <c r="U31" s="91"/>
      <c r="V31" s="91"/>
      <c r="W31" s="91"/>
      <c r="X31" s="91"/>
    </row>
    <row r="32" spans="1:24" s="47" customFormat="1" ht="21.95" customHeight="1" x14ac:dyDescent="0.25">
      <c r="A32" s="226" t="s">
        <v>548</v>
      </c>
      <c r="B32" s="78"/>
      <c r="C32" s="78"/>
      <c r="D32" s="78"/>
      <c r="E32" s="78"/>
      <c r="F32" s="78"/>
      <c r="G32" s="78"/>
      <c r="H32" s="79"/>
      <c r="I32" s="78"/>
      <c r="J32" s="91"/>
      <c r="K32" s="91"/>
      <c r="L32" s="91"/>
      <c r="M32" s="91"/>
      <c r="N32" s="91"/>
      <c r="O32" s="91"/>
      <c r="P32" s="91"/>
      <c r="Q32" s="91"/>
      <c r="R32" s="91"/>
      <c r="S32" s="91"/>
      <c r="T32" s="91"/>
      <c r="U32" s="91"/>
      <c r="V32" s="91"/>
      <c r="W32" s="91"/>
      <c r="X32" s="91"/>
    </row>
    <row r="33" spans="1:24" s="47" customFormat="1" ht="21.95" customHeight="1" x14ac:dyDescent="0.25">
      <c r="A33" s="235" t="s">
        <v>549</v>
      </c>
      <c r="B33" s="92"/>
      <c r="C33" s="92"/>
      <c r="D33" s="92"/>
      <c r="E33" s="92"/>
      <c r="F33" s="92"/>
      <c r="G33" s="92"/>
      <c r="H33" s="236"/>
      <c r="I33" s="78"/>
      <c r="J33" s="91"/>
      <c r="K33" s="91"/>
      <c r="L33" s="91"/>
      <c r="M33" s="91"/>
      <c r="N33" s="91"/>
      <c r="O33" s="91"/>
      <c r="P33" s="91"/>
      <c r="Q33" s="91"/>
      <c r="R33" s="91"/>
      <c r="S33" s="91"/>
      <c r="T33" s="91"/>
      <c r="U33" s="91"/>
      <c r="V33" s="91"/>
      <c r="W33" s="91"/>
      <c r="X33" s="91"/>
    </row>
    <row r="34" spans="1:24" s="47" customFormat="1" ht="21.95" customHeight="1" x14ac:dyDescent="0.25">
      <c r="A34" s="205"/>
      <c r="B34" s="78"/>
      <c r="C34" s="78"/>
      <c r="D34" s="78"/>
      <c r="E34" s="78"/>
      <c r="F34" s="78"/>
      <c r="G34" s="78"/>
      <c r="H34" s="78"/>
      <c r="I34" s="78"/>
      <c r="J34" s="91"/>
      <c r="K34" s="91"/>
      <c r="L34" s="91"/>
      <c r="M34" s="91"/>
      <c r="N34" s="91"/>
      <c r="O34" s="91"/>
      <c r="P34" s="91"/>
      <c r="Q34" s="91"/>
      <c r="R34" s="91"/>
      <c r="S34" s="91"/>
      <c r="T34" s="91"/>
      <c r="U34" s="91"/>
      <c r="V34" s="91"/>
      <c r="W34" s="91"/>
      <c r="X34" s="91"/>
    </row>
    <row r="37" spans="1:24" ht="15.75" x14ac:dyDescent="0.25">
      <c r="A37" s="56" t="s">
        <v>52</v>
      </c>
      <c r="B37" s="57"/>
      <c r="C37" s="58"/>
    </row>
    <row r="38" spans="1:24" ht="15.75" customHeight="1" x14ac:dyDescent="0.25">
      <c r="A38" s="68" t="s">
        <v>53</v>
      </c>
      <c r="B38" s="69"/>
      <c r="C38" s="131"/>
    </row>
    <row r="39" spans="1:24" ht="15.75" x14ac:dyDescent="0.25">
      <c r="A39" s="68" t="s">
        <v>316</v>
      </c>
      <c r="B39" s="69"/>
      <c r="C39" s="131"/>
    </row>
    <row r="40" spans="1:24" ht="15.75" x14ac:dyDescent="0.25">
      <c r="A40" s="74" t="s">
        <v>71</v>
      </c>
      <c r="B40" s="75"/>
      <c r="C40" s="39">
        <f>(C39-C38)/B322</f>
        <v>0</v>
      </c>
    </row>
    <row r="41" spans="1:24" ht="15.75" x14ac:dyDescent="0.25">
      <c r="A41" s="125"/>
      <c r="B41" s="125"/>
      <c r="C41" s="126"/>
    </row>
    <row r="42" spans="1:24" ht="15.75" x14ac:dyDescent="0.25">
      <c r="A42" s="125"/>
      <c r="B42" s="125"/>
      <c r="C42" s="126"/>
    </row>
    <row r="43" spans="1:24" ht="15.75" x14ac:dyDescent="0.25">
      <c r="A43" s="56" t="s">
        <v>51</v>
      </c>
      <c r="B43" s="58"/>
      <c r="C43" s="126"/>
    </row>
    <row r="44" spans="1:24" ht="15.75" x14ac:dyDescent="0.25">
      <c r="A44" s="30" t="s">
        <v>47</v>
      </c>
      <c r="B44" s="133"/>
      <c r="C44" s="126"/>
    </row>
    <row r="45" spans="1:24" ht="15.75" x14ac:dyDescent="0.25">
      <c r="A45" s="31" t="s">
        <v>46</v>
      </c>
      <c r="B45" s="134"/>
      <c r="C45" s="126"/>
    </row>
    <row r="46" spans="1:24" ht="15.75" x14ac:dyDescent="0.25">
      <c r="A46" s="32" t="s">
        <v>308</v>
      </c>
      <c r="B46" s="135" t="e">
        <f>((B44/B45)/B45)*10000</f>
        <v>#DIV/0!</v>
      </c>
      <c r="C46" s="126"/>
    </row>
    <row r="47" spans="1:24" ht="15.75" x14ac:dyDescent="0.25">
      <c r="A47" s="125"/>
      <c r="B47" s="129"/>
      <c r="C47" s="126"/>
    </row>
    <row r="48" spans="1:24" ht="15.75" x14ac:dyDescent="0.25">
      <c r="A48" s="125"/>
      <c r="B48" s="129"/>
      <c r="C48" s="126"/>
    </row>
    <row r="49" spans="1:13" ht="18" x14ac:dyDescent="0.25">
      <c r="A49" s="32" t="s">
        <v>437</v>
      </c>
      <c r="B49" s="132"/>
      <c r="C49" s="128"/>
      <c r="D49" s="129" t="e">
        <f>IF(B46&gt;C49,A307,A308)</f>
        <v>#DIV/0!</v>
      </c>
      <c r="E49" s="11"/>
      <c r="F49" s="11"/>
      <c r="G49" s="11"/>
    </row>
    <row r="50" spans="1:13" ht="15.75" x14ac:dyDescent="0.25">
      <c r="A50" s="125"/>
      <c r="B50" s="125"/>
      <c r="C50" s="126"/>
    </row>
    <row r="51" spans="1:13" ht="15.75" x14ac:dyDescent="0.25">
      <c r="A51" s="125"/>
      <c r="B51" s="125"/>
      <c r="C51" s="126"/>
    </row>
    <row r="52" spans="1:13" ht="15.75" x14ac:dyDescent="0.25">
      <c r="A52" s="245" t="s">
        <v>554</v>
      </c>
      <c r="B52" s="75"/>
      <c r="C52" s="220"/>
      <c r="D52" s="11"/>
    </row>
    <row r="53" spans="1:13" ht="17.25" x14ac:dyDescent="0.25">
      <c r="A53" s="218" t="s">
        <v>496</v>
      </c>
      <c r="B53" s="219"/>
      <c r="C53" s="128"/>
    </row>
    <row r="54" spans="1:13" ht="15.75" x14ac:dyDescent="0.25">
      <c r="A54" s="74" t="s">
        <v>469</v>
      </c>
      <c r="B54" s="217"/>
      <c r="C54" s="221">
        <f>(B45/100)*(B45/100)*C53</f>
        <v>0</v>
      </c>
    </row>
    <row r="55" spans="1:13" ht="15.75" x14ac:dyDescent="0.25">
      <c r="A55" s="125"/>
      <c r="B55" s="125"/>
      <c r="C55" s="126"/>
    </row>
    <row r="56" spans="1:13" ht="15.75" x14ac:dyDescent="0.25">
      <c r="A56" s="125"/>
      <c r="B56" s="125"/>
      <c r="C56" s="126"/>
    </row>
    <row r="58" spans="1:13" ht="20.25" customHeight="1" x14ac:dyDescent="0.25">
      <c r="A58" s="156" t="s">
        <v>304</v>
      </c>
      <c r="B58" s="157"/>
      <c r="C58" s="158"/>
      <c r="E58" s="169" t="s">
        <v>546</v>
      </c>
      <c r="F58" s="170"/>
      <c r="H58" s="175" t="s">
        <v>547</v>
      </c>
      <c r="I58" s="176"/>
      <c r="K58" s="209" t="s">
        <v>493</v>
      </c>
      <c r="L58" s="210"/>
      <c r="M58" s="211"/>
    </row>
    <row r="59" spans="1:13" ht="18" x14ac:dyDescent="0.25">
      <c r="A59" s="159" t="s">
        <v>71</v>
      </c>
      <c r="B59" s="160" t="s">
        <v>470</v>
      </c>
      <c r="C59" s="160" t="s">
        <v>471</v>
      </c>
      <c r="E59" s="171" t="s">
        <v>468</v>
      </c>
      <c r="F59" s="172" t="s">
        <v>469</v>
      </c>
      <c r="H59" s="177" t="s">
        <v>468</v>
      </c>
      <c r="I59" s="178" t="s">
        <v>469</v>
      </c>
      <c r="K59" s="212" t="s">
        <v>71</v>
      </c>
      <c r="L59" s="213" t="s">
        <v>494</v>
      </c>
      <c r="M59" s="213" t="s">
        <v>495</v>
      </c>
    </row>
    <row r="60" spans="1:13" ht="15.75" x14ac:dyDescent="0.25">
      <c r="A60" s="165" t="s">
        <v>303</v>
      </c>
      <c r="B60" s="168">
        <v>14.8</v>
      </c>
      <c r="C60" s="168">
        <v>14.7</v>
      </c>
      <c r="E60" s="181">
        <v>49.988884079000002</v>
      </c>
      <c r="F60" s="174">
        <v>3.5302031679999999</v>
      </c>
      <c r="H60" s="183">
        <v>49.286396117999999</v>
      </c>
      <c r="I60" s="180">
        <v>3.3991864500000002</v>
      </c>
      <c r="K60" s="206" t="s">
        <v>303</v>
      </c>
      <c r="L60" s="207">
        <v>13.4</v>
      </c>
      <c r="M60" s="207">
        <v>13.3</v>
      </c>
    </row>
    <row r="61" spans="1:13" ht="15.75" x14ac:dyDescent="0.25">
      <c r="A61" s="161" t="s">
        <v>302</v>
      </c>
      <c r="B61" s="164">
        <v>16.399999999999999</v>
      </c>
      <c r="C61" s="164">
        <v>16.100000000000001</v>
      </c>
      <c r="E61" s="182">
        <v>52.695975300999997</v>
      </c>
      <c r="F61" s="173">
        <v>4.0031064240000003</v>
      </c>
      <c r="H61" s="184">
        <v>51.683580573</v>
      </c>
      <c r="I61" s="179">
        <v>3.7975284600000001</v>
      </c>
      <c r="K61" s="214" t="s">
        <v>302</v>
      </c>
      <c r="L61" s="215">
        <v>14.9</v>
      </c>
      <c r="M61" s="215">
        <v>14.6</v>
      </c>
    </row>
    <row r="62" spans="1:13" ht="15.75" x14ac:dyDescent="0.25">
      <c r="A62" s="165" t="s">
        <v>275</v>
      </c>
      <c r="B62" s="168">
        <v>17.8</v>
      </c>
      <c r="C62" s="168">
        <v>17.399999999999999</v>
      </c>
      <c r="E62" s="181">
        <v>56.628428552000003</v>
      </c>
      <c r="F62" s="174">
        <v>4.8795250829999999</v>
      </c>
      <c r="H62" s="183">
        <v>55.286128126000001</v>
      </c>
      <c r="I62" s="180">
        <v>4.5447765130000004</v>
      </c>
      <c r="K62" s="206" t="s">
        <v>275</v>
      </c>
      <c r="L62" s="207">
        <v>16.3</v>
      </c>
      <c r="M62" s="207">
        <v>15.8</v>
      </c>
    </row>
    <row r="63" spans="1:13" ht="15.75" x14ac:dyDescent="0.25">
      <c r="A63" s="161" t="s">
        <v>276</v>
      </c>
      <c r="B63" s="164">
        <v>18.5</v>
      </c>
      <c r="C63" s="164">
        <v>18</v>
      </c>
      <c r="E63" s="182">
        <v>59.608953427000003</v>
      </c>
      <c r="F63" s="173">
        <v>5.6728887649999997</v>
      </c>
      <c r="H63" s="184">
        <v>58.093819060999998</v>
      </c>
      <c r="I63" s="179">
        <v>5.2305842140000003</v>
      </c>
      <c r="K63" s="214" t="s">
        <v>276</v>
      </c>
      <c r="L63" s="215">
        <v>16.899999999999999</v>
      </c>
      <c r="M63" s="215">
        <v>16.399999999999999</v>
      </c>
    </row>
    <row r="64" spans="1:13" ht="15.75" x14ac:dyDescent="0.25">
      <c r="A64" s="165" t="s">
        <v>277</v>
      </c>
      <c r="B64" s="168">
        <v>18.7</v>
      </c>
      <c r="C64" s="168">
        <v>18.3</v>
      </c>
      <c r="E64" s="181">
        <v>62.077000265999999</v>
      </c>
      <c r="F64" s="174">
        <v>6.391391982</v>
      </c>
      <c r="H64" s="183">
        <v>60.459807634000001</v>
      </c>
      <c r="I64" s="180">
        <v>5.8599607980000004</v>
      </c>
      <c r="K64" s="206" t="s">
        <v>277</v>
      </c>
      <c r="L64" s="207">
        <v>17.2</v>
      </c>
      <c r="M64" s="207">
        <v>16.7</v>
      </c>
    </row>
    <row r="65" spans="1:13" ht="15.75" x14ac:dyDescent="0.25">
      <c r="A65" s="161" t="s">
        <v>278</v>
      </c>
      <c r="B65" s="164">
        <v>18.899999999999999</v>
      </c>
      <c r="C65" s="164">
        <v>18.5</v>
      </c>
      <c r="E65" s="182">
        <v>64.216864103999995</v>
      </c>
      <c r="F65" s="173">
        <v>7.0418364320000002</v>
      </c>
      <c r="H65" s="184">
        <v>62.536696554999999</v>
      </c>
      <c r="I65" s="179">
        <v>6.4375877509999997</v>
      </c>
      <c r="K65" s="214" t="s">
        <v>278</v>
      </c>
      <c r="L65" s="215">
        <v>17.3</v>
      </c>
      <c r="M65" s="215">
        <v>16.8</v>
      </c>
    </row>
    <row r="66" spans="1:13" ht="15.75" x14ac:dyDescent="0.25">
      <c r="A66" s="165" t="s">
        <v>279</v>
      </c>
      <c r="B66" s="168">
        <v>18.899999999999999</v>
      </c>
      <c r="C66" s="168">
        <v>18.600000000000001</v>
      </c>
      <c r="E66" s="181">
        <v>66.125314897999999</v>
      </c>
      <c r="F66" s="174">
        <v>7.6304251819999998</v>
      </c>
      <c r="H66" s="183">
        <v>64.406327623999999</v>
      </c>
      <c r="I66" s="180">
        <v>6.9678504569999999</v>
      </c>
      <c r="K66" s="206" t="s">
        <v>279</v>
      </c>
      <c r="L66" s="207">
        <v>17.3</v>
      </c>
      <c r="M66" s="207">
        <v>16.899999999999999</v>
      </c>
    </row>
    <row r="67" spans="1:13" ht="15.75" x14ac:dyDescent="0.25">
      <c r="A67" s="161" t="s">
        <v>280</v>
      </c>
      <c r="B67" s="164">
        <v>18.899999999999999</v>
      </c>
      <c r="C67" s="164">
        <v>18.600000000000001</v>
      </c>
      <c r="E67" s="182">
        <v>67.860179904000006</v>
      </c>
      <c r="F67" s="173">
        <v>8.1629510350000007</v>
      </c>
      <c r="H67" s="184">
        <v>66.118415533000004</v>
      </c>
      <c r="I67" s="179">
        <v>7.4548541090000002</v>
      </c>
      <c r="K67" s="214" t="s">
        <v>280</v>
      </c>
      <c r="L67" s="215">
        <v>17.3</v>
      </c>
      <c r="M67" s="215">
        <v>16.899999999999999</v>
      </c>
    </row>
    <row r="68" spans="1:13" ht="15.75" x14ac:dyDescent="0.25">
      <c r="A68" s="165" t="s">
        <v>281</v>
      </c>
      <c r="B68" s="168">
        <v>18.8</v>
      </c>
      <c r="C68" s="168">
        <v>18.5</v>
      </c>
      <c r="E68" s="181">
        <v>69.459084582000003</v>
      </c>
      <c r="F68" s="174">
        <v>8.6448324789999997</v>
      </c>
      <c r="H68" s="183">
        <v>67.705744191999997</v>
      </c>
      <c r="I68" s="180">
        <v>7.9024361860000001</v>
      </c>
      <c r="K68" s="206" t="s">
        <v>281</v>
      </c>
      <c r="L68" s="207">
        <v>17.3</v>
      </c>
      <c r="M68" s="207">
        <v>16.8</v>
      </c>
    </row>
    <row r="69" spans="1:13" ht="15.75" x14ac:dyDescent="0.25">
      <c r="A69" s="161" t="s">
        <v>282</v>
      </c>
      <c r="B69" s="164">
        <v>18.7</v>
      </c>
      <c r="C69" s="164">
        <v>18.399999999999999</v>
      </c>
      <c r="E69" s="182">
        <v>70.948039123000001</v>
      </c>
      <c r="F69" s="173">
        <v>9.0811198169999994</v>
      </c>
      <c r="H69" s="184">
        <v>69.191236137999994</v>
      </c>
      <c r="I69" s="179">
        <v>8.3141783769999993</v>
      </c>
      <c r="K69" s="214" t="s">
        <v>282</v>
      </c>
      <c r="L69" s="215">
        <v>17.2</v>
      </c>
      <c r="M69" s="215">
        <v>16.7</v>
      </c>
    </row>
    <row r="70" spans="1:13" ht="15.75" x14ac:dyDescent="0.25">
      <c r="A70" s="165" t="s">
        <v>283</v>
      </c>
      <c r="B70" s="168">
        <v>18.600000000000001</v>
      </c>
      <c r="C70" s="168">
        <v>18.2</v>
      </c>
      <c r="E70" s="181">
        <v>72.345861108999998</v>
      </c>
      <c r="F70" s="174">
        <v>9.4765003050000001</v>
      </c>
      <c r="H70" s="183">
        <v>70.591639236999995</v>
      </c>
      <c r="I70" s="180">
        <v>8.6934184230000007</v>
      </c>
      <c r="K70" s="206" t="s">
        <v>283</v>
      </c>
      <c r="L70" s="207">
        <v>17</v>
      </c>
      <c r="M70" s="207">
        <v>16.600000000000001</v>
      </c>
    </row>
    <row r="71" spans="1:13" ht="15.75" x14ac:dyDescent="0.25">
      <c r="A71" s="161" t="s">
        <v>284</v>
      </c>
      <c r="B71" s="164">
        <v>18.399999999999999</v>
      </c>
      <c r="C71" s="164">
        <v>18.100000000000001</v>
      </c>
      <c r="E71" s="182">
        <v>73.666654102999999</v>
      </c>
      <c r="F71" s="173">
        <v>9.8353077009999996</v>
      </c>
      <c r="H71" s="184">
        <v>71.919616727000005</v>
      </c>
      <c r="I71" s="179">
        <v>9.0432618540000007</v>
      </c>
      <c r="K71" s="214" t="s">
        <v>284</v>
      </c>
      <c r="L71" s="215">
        <v>16.899999999999999</v>
      </c>
      <c r="M71" s="215">
        <v>16.5</v>
      </c>
    </row>
    <row r="72" spans="1:13" ht="15.75" x14ac:dyDescent="0.25">
      <c r="A72" s="165" t="s">
        <v>285</v>
      </c>
      <c r="B72" s="168">
        <v>18.3</v>
      </c>
      <c r="C72" s="168">
        <v>17.899999999999999</v>
      </c>
      <c r="E72" s="181">
        <v>74.921297174000003</v>
      </c>
      <c r="F72" s="174">
        <v>10.161535669999999</v>
      </c>
      <c r="H72" s="183">
        <v>73.185010399000006</v>
      </c>
      <c r="I72" s="180">
        <v>9.3665935709999992</v>
      </c>
      <c r="K72" s="206" t="s">
        <v>285</v>
      </c>
      <c r="L72" s="207">
        <v>16.8</v>
      </c>
      <c r="M72" s="207">
        <v>16.399999999999999</v>
      </c>
    </row>
    <row r="73" spans="1:13" ht="15.75" x14ac:dyDescent="0.25">
      <c r="A73" s="161" t="s">
        <v>286</v>
      </c>
      <c r="B73" s="164">
        <v>18.100000000000001</v>
      </c>
      <c r="C73" s="164">
        <v>17.8</v>
      </c>
      <c r="E73" s="182">
        <v>76.118375357999994</v>
      </c>
      <c r="F73" s="173">
        <v>10.45885399</v>
      </c>
      <c r="H73" s="184">
        <v>74.395643785999994</v>
      </c>
      <c r="I73" s="179">
        <v>9.6660891850000006</v>
      </c>
      <c r="K73" s="214" t="s">
        <v>286</v>
      </c>
      <c r="L73" s="215">
        <v>16.7</v>
      </c>
      <c r="M73" s="215">
        <v>16.2</v>
      </c>
    </row>
    <row r="74" spans="1:13" ht="15.75" x14ac:dyDescent="0.25">
      <c r="A74" s="165" t="s">
        <v>287</v>
      </c>
      <c r="B74" s="168">
        <v>18</v>
      </c>
      <c r="C74" s="168">
        <v>17.7</v>
      </c>
      <c r="E74" s="181">
        <v>77.264799111000002</v>
      </c>
      <c r="F74" s="174">
        <v>10.7306256</v>
      </c>
      <c r="H74" s="183">
        <v>75.557854397</v>
      </c>
      <c r="I74" s="180">
        <v>9.9442260630000003</v>
      </c>
      <c r="K74" s="206" t="s">
        <v>287</v>
      </c>
      <c r="L74" s="207">
        <v>16.600000000000001</v>
      </c>
      <c r="M74" s="207">
        <v>16.100000000000001</v>
      </c>
    </row>
    <row r="75" spans="1:13" ht="15.75" x14ac:dyDescent="0.25">
      <c r="A75" s="161" t="s">
        <v>288</v>
      </c>
      <c r="B75" s="164">
        <v>17.899999999999999</v>
      </c>
      <c r="C75" s="164">
        <v>17.5</v>
      </c>
      <c r="E75" s="182">
        <v>78.366223086999995</v>
      </c>
      <c r="F75" s="173">
        <v>10.979924820000001</v>
      </c>
      <c r="H75" s="184">
        <v>76.676858713000001</v>
      </c>
      <c r="I75" s="179">
        <v>10.203293970000001</v>
      </c>
      <c r="K75" s="214" t="s">
        <v>288</v>
      </c>
      <c r="L75" s="215">
        <v>16.399999999999999</v>
      </c>
      <c r="M75" s="215">
        <v>16</v>
      </c>
    </row>
    <row r="76" spans="1:13" ht="15.75" x14ac:dyDescent="0.25">
      <c r="A76" s="165" t="s">
        <v>289</v>
      </c>
      <c r="B76" s="168">
        <v>17.8</v>
      </c>
      <c r="C76" s="168">
        <v>17.399999999999999</v>
      </c>
      <c r="E76" s="181">
        <v>79.427340501000003</v>
      </c>
      <c r="F76" s="174">
        <v>11.209555290000001</v>
      </c>
      <c r="H76" s="183">
        <v>77.757009855999996</v>
      </c>
      <c r="I76" s="180">
        <v>10.4454058</v>
      </c>
      <c r="K76" s="206" t="s">
        <v>289</v>
      </c>
      <c r="L76" s="207">
        <v>16.3</v>
      </c>
      <c r="M76" s="207">
        <v>15.9</v>
      </c>
    </row>
    <row r="77" spans="1:13" ht="15.75" x14ac:dyDescent="0.25">
      <c r="A77" s="161" t="s">
        <v>290</v>
      </c>
      <c r="B77" s="164">
        <v>17.600000000000001</v>
      </c>
      <c r="C77" s="164">
        <v>17.3</v>
      </c>
      <c r="E77" s="182">
        <v>80.452094919000004</v>
      </c>
      <c r="F77" s="173">
        <v>11.422067699999999</v>
      </c>
      <c r="H77" s="184">
        <v>78.801984055999995</v>
      </c>
      <c r="I77" s="179">
        <v>10.67250698</v>
      </c>
      <c r="K77" s="214" t="s">
        <v>290</v>
      </c>
      <c r="L77" s="215">
        <v>16.2</v>
      </c>
      <c r="M77" s="215">
        <v>15.8</v>
      </c>
    </row>
    <row r="78" spans="1:13" ht="15.75" x14ac:dyDescent="0.25">
      <c r="A78" s="165" t="s">
        <v>291</v>
      </c>
      <c r="B78" s="168">
        <v>17.5</v>
      </c>
      <c r="C78" s="168">
        <v>17.2</v>
      </c>
      <c r="E78" s="181">
        <v>81.443836034</v>
      </c>
      <c r="F78" s="174">
        <v>11.619776979999999</v>
      </c>
      <c r="H78" s="183">
        <v>79.814918523000003</v>
      </c>
      <c r="I78" s="180">
        <v>10.886385580000001</v>
      </c>
      <c r="K78" s="206" t="s">
        <v>291</v>
      </c>
      <c r="L78" s="207">
        <v>16.100000000000001</v>
      </c>
      <c r="M78" s="207">
        <v>15.7</v>
      </c>
    </row>
    <row r="79" spans="1:13" ht="15.75" x14ac:dyDescent="0.25">
      <c r="A79" s="161" t="s">
        <v>292</v>
      </c>
      <c r="B79" s="164">
        <v>17.399999999999999</v>
      </c>
      <c r="C79" s="164">
        <v>17.2</v>
      </c>
      <c r="E79" s="182">
        <v>82.405436433999995</v>
      </c>
      <c r="F79" s="173">
        <v>11.80477902</v>
      </c>
      <c r="H79" s="184">
        <v>80.798515316000007</v>
      </c>
      <c r="I79" s="179">
        <v>11.088681510000001</v>
      </c>
      <c r="K79" s="214" t="s">
        <v>292</v>
      </c>
      <c r="L79" s="215">
        <v>16.100000000000001</v>
      </c>
      <c r="M79" s="215">
        <v>15.7</v>
      </c>
    </row>
    <row r="80" spans="1:13" ht="15.75" x14ac:dyDescent="0.25">
      <c r="A80" s="165" t="s">
        <v>293</v>
      </c>
      <c r="B80" s="168">
        <v>17.399999999999999</v>
      </c>
      <c r="C80" s="168">
        <v>17.100000000000001</v>
      </c>
      <c r="E80" s="181">
        <v>83.339380626999997</v>
      </c>
      <c r="F80" s="174">
        <v>11.9789663</v>
      </c>
      <c r="H80" s="183">
        <v>81.755120921</v>
      </c>
      <c r="I80" s="180">
        <v>11.28089537</v>
      </c>
      <c r="K80" s="206" t="s">
        <v>293</v>
      </c>
      <c r="L80" s="207">
        <v>16</v>
      </c>
      <c r="M80" s="207">
        <v>15.6</v>
      </c>
    </row>
    <row r="81" spans="1:13" ht="15.75" x14ac:dyDescent="0.25">
      <c r="A81" s="161" t="s">
        <v>294</v>
      </c>
      <c r="B81" s="164">
        <v>17.3</v>
      </c>
      <c r="C81" s="164">
        <v>17</v>
      </c>
      <c r="E81" s="182">
        <v>84.247833944000007</v>
      </c>
      <c r="F81" s="173">
        <v>12.14404334</v>
      </c>
      <c r="H81" s="184">
        <v>82.686788097999994</v>
      </c>
      <c r="I81" s="179">
        <v>11.464397079999999</v>
      </c>
      <c r="K81" s="214" t="s">
        <v>294</v>
      </c>
      <c r="L81" s="215">
        <v>15.9</v>
      </c>
      <c r="M81" s="215">
        <v>15.5</v>
      </c>
    </row>
    <row r="82" spans="1:13" ht="15.75" x14ac:dyDescent="0.25">
      <c r="A82" s="165" t="s">
        <v>295</v>
      </c>
      <c r="B82" s="168">
        <v>17.2</v>
      </c>
      <c r="C82" s="168">
        <v>17</v>
      </c>
      <c r="E82" s="181">
        <v>85.132696574999997</v>
      </c>
      <c r="F82" s="174">
        <v>12.301541029999999</v>
      </c>
      <c r="H82" s="183">
        <v>83.595324610000006</v>
      </c>
      <c r="I82" s="180">
        <v>11.640434020000001</v>
      </c>
      <c r="K82" s="206" t="s">
        <v>295</v>
      </c>
      <c r="L82" s="207">
        <v>15.8</v>
      </c>
      <c r="M82" s="207">
        <v>15.5</v>
      </c>
    </row>
    <row r="83" spans="1:13" ht="15.75" x14ac:dyDescent="0.25">
      <c r="A83" s="161" t="s">
        <v>296</v>
      </c>
      <c r="B83" s="164">
        <v>17.100000000000001</v>
      </c>
      <c r="C83" s="164">
        <v>16.899999999999999</v>
      </c>
      <c r="E83" s="182">
        <v>85.995648802999995</v>
      </c>
      <c r="F83" s="173">
        <v>12.452830280000001</v>
      </c>
      <c r="H83" s="184">
        <v>84.482332060000005</v>
      </c>
      <c r="I83" s="179">
        <v>11.810138950000001</v>
      </c>
      <c r="K83" s="214" t="s">
        <v>296</v>
      </c>
      <c r="L83" s="215">
        <v>15.8</v>
      </c>
      <c r="M83" s="215">
        <v>15.4</v>
      </c>
    </row>
    <row r="84" spans="1:13" ht="15.75" x14ac:dyDescent="0.25">
      <c r="A84" s="165" t="s">
        <v>297</v>
      </c>
      <c r="B84" s="168">
        <v>17.100000000000001</v>
      </c>
      <c r="C84" s="168">
        <v>16.899999999999999</v>
      </c>
      <c r="E84" s="181">
        <v>86.838175097000004</v>
      </c>
      <c r="F84" s="174">
        <v>12.599134940000001</v>
      </c>
      <c r="H84" s="183">
        <v>85.349236238000003</v>
      </c>
      <c r="I84" s="180">
        <v>11.97453748</v>
      </c>
      <c r="K84" s="206" t="s">
        <v>297</v>
      </c>
      <c r="L84" s="207">
        <v>15.7</v>
      </c>
      <c r="M84" s="207">
        <v>15.4</v>
      </c>
    </row>
    <row r="85" spans="1:13" ht="15.75" x14ac:dyDescent="0.25">
      <c r="A85" s="162" t="s">
        <v>55</v>
      </c>
      <c r="B85" s="163">
        <v>18.119549228</v>
      </c>
      <c r="C85" s="164">
        <v>17.973714126000001</v>
      </c>
      <c r="E85" s="182">
        <v>86.861609340000001</v>
      </c>
      <c r="F85" s="173">
        <v>12.74154396</v>
      </c>
      <c r="H85" s="184">
        <v>85.397316900000007</v>
      </c>
      <c r="I85" s="179">
        <v>12.13455523</v>
      </c>
      <c r="K85" s="216" t="s">
        <v>55</v>
      </c>
      <c r="L85" s="215">
        <v>16.547774867000001</v>
      </c>
      <c r="M85" s="215">
        <v>16.388040561</v>
      </c>
    </row>
    <row r="86" spans="1:13" ht="15.75" x14ac:dyDescent="0.25">
      <c r="A86" s="166" t="s">
        <v>54</v>
      </c>
      <c r="B86" s="167">
        <v>18.036680126</v>
      </c>
      <c r="C86" s="168">
        <v>17.887488124000001</v>
      </c>
      <c r="E86" s="181">
        <v>87.65247282</v>
      </c>
      <c r="F86" s="174">
        <v>12.88102276</v>
      </c>
      <c r="H86" s="183">
        <v>86.290263179999997</v>
      </c>
      <c r="I86" s="180">
        <v>12.2910249</v>
      </c>
      <c r="K86" s="208" t="s">
        <v>54</v>
      </c>
      <c r="L86" s="207">
        <v>16.494427632000001</v>
      </c>
      <c r="M86" s="207">
        <v>16.318971901000001</v>
      </c>
    </row>
    <row r="87" spans="1:13" ht="15.75" x14ac:dyDescent="0.25">
      <c r="A87" s="162" t="s">
        <v>56</v>
      </c>
      <c r="B87" s="163">
        <v>17.957002275000001</v>
      </c>
      <c r="C87" s="164">
        <v>17.804890513</v>
      </c>
      <c r="E87" s="182">
        <v>88.423264340000003</v>
      </c>
      <c r="F87" s="173">
        <v>13.018423820000001</v>
      </c>
      <c r="H87" s="184">
        <v>87.157141820000007</v>
      </c>
      <c r="I87" s="179">
        <v>12.44469258</v>
      </c>
      <c r="K87" s="216" t="s">
        <v>56</v>
      </c>
      <c r="L87" s="215">
        <v>16.442595522000001</v>
      </c>
      <c r="M87" s="215">
        <v>16.252079845000001</v>
      </c>
    </row>
    <row r="88" spans="1:13" ht="15.75" x14ac:dyDescent="0.25">
      <c r="A88" s="166" t="s">
        <v>57</v>
      </c>
      <c r="B88" s="167">
        <v>17.880471005</v>
      </c>
      <c r="C88" s="168">
        <v>17.725863959000002</v>
      </c>
      <c r="E88" s="181">
        <v>89.17549228</v>
      </c>
      <c r="F88" s="174">
        <v>13.1544966</v>
      </c>
      <c r="H88" s="183">
        <v>87.996018399999997</v>
      </c>
      <c r="I88" s="180">
        <v>12.596223350000001</v>
      </c>
      <c r="K88" s="208" t="s">
        <v>57</v>
      </c>
      <c r="L88" s="207">
        <v>16.392243398000002</v>
      </c>
      <c r="M88" s="207">
        <v>16.187346686000001</v>
      </c>
    </row>
    <row r="89" spans="1:13" ht="15.75" x14ac:dyDescent="0.25">
      <c r="A89" s="162" t="s">
        <v>58</v>
      </c>
      <c r="B89" s="163">
        <v>17.807042590999998</v>
      </c>
      <c r="C89" s="164">
        <v>17.650351370999999</v>
      </c>
      <c r="E89" s="182">
        <v>89.910408529999998</v>
      </c>
      <c r="F89" s="173">
        <v>13.289896669999999</v>
      </c>
      <c r="H89" s="184">
        <v>88.805511499999994</v>
      </c>
      <c r="I89" s="179">
        <v>12.746209110000001</v>
      </c>
      <c r="K89" s="216" t="s">
        <v>58</v>
      </c>
      <c r="L89" s="215">
        <v>16.343336542999999</v>
      </c>
      <c r="M89" s="215">
        <v>16.124754481</v>
      </c>
    </row>
    <row r="90" spans="1:13" ht="15.75" x14ac:dyDescent="0.25">
      <c r="A90" s="166" t="s">
        <v>59</v>
      </c>
      <c r="B90" s="167">
        <v>17.736674141999998</v>
      </c>
      <c r="C90" s="168">
        <v>17.578297744</v>
      </c>
      <c r="E90" s="181">
        <v>90.629077620000004</v>
      </c>
      <c r="F90" s="174">
        <v>13.425194080000001</v>
      </c>
      <c r="H90" s="183">
        <v>89.584766889999997</v>
      </c>
      <c r="I90" s="180">
        <v>12.895172179999999</v>
      </c>
      <c r="K90" s="208" t="s">
        <v>59</v>
      </c>
      <c r="L90" s="207">
        <v>16.295840971000001</v>
      </c>
      <c r="M90" s="207">
        <v>16.064287622999998</v>
      </c>
    </row>
    <row r="91" spans="1:13" ht="15.75" x14ac:dyDescent="0.25">
      <c r="A91" s="162" t="s">
        <v>60</v>
      </c>
      <c r="B91" s="163">
        <v>17.669323458000001</v>
      </c>
      <c r="C91" s="164">
        <v>17.509648393999999</v>
      </c>
      <c r="E91" s="182">
        <v>91.332423790000007</v>
      </c>
      <c r="F91" s="173">
        <v>13.56088113</v>
      </c>
      <c r="H91" s="184">
        <v>90.333417220000001</v>
      </c>
      <c r="I91" s="179">
        <v>13.04357164</v>
      </c>
      <c r="K91" s="216" t="s">
        <v>60</v>
      </c>
      <c r="L91" s="215">
        <v>16.249723714000002</v>
      </c>
      <c r="M91" s="215">
        <v>16.005930007</v>
      </c>
    </row>
    <row r="92" spans="1:13" ht="15.75" x14ac:dyDescent="0.25">
      <c r="A92" s="166" t="s">
        <v>61</v>
      </c>
      <c r="B92" s="167">
        <v>17.604948602</v>
      </c>
      <c r="C92" s="168">
        <v>17.444349939999999</v>
      </c>
      <c r="E92" s="181">
        <v>92.021271670000004</v>
      </c>
      <c r="F92" s="174">
        <v>13.697378580000001</v>
      </c>
      <c r="H92" s="183">
        <v>91.051543600000002</v>
      </c>
      <c r="I92" s="180">
        <v>13.191808740000001</v>
      </c>
      <c r="K92" s="208" t="s">
        <v>61</v>
      </c>
      <c r="L92" s="207">
        <v>16.204952678000001</v>
      </c>
      <c r="M92" s="207">
        <v>15.94966631</v>
      </c>
    </row>
    <row r="93" spans="1:13" ht="15.75" x14ac:dyDescent="0.25">
      <c r="A93" s="162" t="s">
        <v>62</v>
      </c>
      <c r="B93" s="163">
        <v>17.543508980999999</v>
      </c>
      <c r="C93" s="164">
        <v>17.382350429999999</v>
      </c>
      <c r="E93" s="182">
        <v>92.696379460000003</v>
      </c>
      <c r="F93" s="173">
        <v>13.835046220000001</v>
      </c>
      <c r="H93" s="184">
        <v>91.739635199999995</v>
      </c>
      <c r="I93" s="179">
        <v>13.34022934</v>
      </c>
      <c r="K93" s="216" t="s">
        <v>62</v>
      </c>
      <c r="L93" s="215">
        <v>16.161498714</v>
      </c>
      <c r="M93" s="215">
        <v>15.895481969</v>
      </c>
    </row>
    <row r="94" spans="1:13" ht="15.75" x14ac:dyDescent="0.25">
      <c r="A94" s="166" t="s">
        <v>63</v>
      </c>
      <c r="B94" s="167">
        <v>17.484962947</v>
      </c>
      <c r="C94" s="168">
        <v>17.323598457999999</v>
      </c>
      <c r="E94" s="181">
        <v>93.358465460000005</v>
      </c>
      <c r="F94" s="174">
        <v>13.974182989999999</v>
      </c>
      <c r="H94" s="183">
        <v>92.398544290000004</v>
      </c>
      <c r="I94" s="180">
        <v>13.48913319</v>
      </c>
      <c r="K94" s="208" t="s">
        <v>63</v>
      </c>
      <c r="L94" s="207">
        <v>16.119332581999998</v>
      </c>
      <c r="M94" s="207">
        <v>15.843361791</v>
      </c>
    </row>
    <row r="95" spans="1:13" ht="15.75" x14ac:dyDescent="0.25">
      <c r="A95" s="162" t="s">
        <v>64</v>
      </c>
      <c r="B95" s="163">
        <v>17.429269329</v>
      </c>
      <c r="C95" s="164">
        <v>17.268044363000001</v>
      </c>
      <c r="E95" s="182">
        <v>94.008229229999998</v>
      </c>
      <c r="F95" s="173">
        <v>14.1150324</v>
      </c>
      <c r="H95" s="184">
        <v>93.029453919999995</v>
      </c>
      <c r="I95" s="179">
        <v>13.63877446</v>
      </c>
      <c r="K95" s="216" t="s">
        <v>64</v>
      </c>
      <c r="L95" s="215">
        <v>16.078427579</v>
      </c>
      <c r="M95" s="215">
        <v>15.793291456</v>
      </c>
    </row>
    <row r="96" spans="1:13" ht="15.75" x14ac:dyDescent="0.25">
      <c r="A96" s="166" t="s">
        <v>65</v>
      </c>
      <c r="B96" s="167">
        <v>17.376386767</v>
      </c>
      <c r="C96" s="168">
        <v>17.215639511999999</v>
      </c>
      <c r="E96" s="181">
        <v>94.646369809999996</v>
      </c>
      <c r="F96" s="174">
        <v>14.25779618</v>
      </c>
      <c r="H96" s="183">
        <v>93.633822780000003</v>
      </c>
      <c r="I96" s="180">
        <v>13.78936547</v>
      </c>
      <c r="K96" s="208" t="s">
        <v>65</v>
      </c>
      <c r="L96" s="207">
        <v>16.038758957999999</v>
      </c>
      <c r="M96" s="207">
        <v>15.745256400000001</v>
      </c>
    </row>
    <row r="97" spans="1:13" ht="15.75" x14ac:dyDescent="0.25">
      <c r="A97" s="162" t="s">
        <v>66</v>
      </c>
      <c r="B97" s="163">
        <v>17.326273561000001</v>
      </c>
      <c r="C97" s="164">
        <v>17.166336426000001</v>
      </c>
      <c r="E97" s="182">
        <v>95.273591060000001</v>
      </c>
      <c r="F97" s="173">
        <v>14.40262749</v>
      </c>
      <c r="H97" s="184">
        <v>94.213357090000002</v>
      </c>
      <c r="I97" s="179">
        <v>13.941083320000001</v>
      </c>
      <c r="K97" s="216" t="s">
        <v>66</v>
      </c>
      <c r="L97" s="215">
        <v>16.000304012000001</v>
      </c>
      <c r="M97" s="215">
        <v>15.699241878</v>
      </c>
    </row>
    <row r="98" spans="1:13" ht="15.75" x14ac:dyDescent="0.25">
      <c r="A98" s="166" t="s">
        <v>67</v>
      </c>
      <c r="B98" s="167">
        <v>17.278887949000001</v>
      </c>
      <c r="C98" s="168">
        <v>17.120088720999998</v>
      </c>
      <c r="E98" s="181">
        <v>95.914749290000003</v>
      </c>
      <c r="F98" s="174">
        <v>14.54964614</v>
      </c>
      <c r="H98" s="183">
        <v>94.796432390000007</v>
      </c>
      <c r="I98" s="180">
        <v>14.094071749999999</v>
      </c>
      <c r="K98" s="208" t="s">
        <v>67</v>
      </c>
      <c r="L98" s="207">
        <v>15.963042771</v>
      </c>
      <c r="M98" s="207">
        <v>15.655232823</v>
      </c>
    </row>
    <row r="99" spans="1:13" ht="15.75" x14ac:dyDescent="0.25">
      <c r="A99" s="162" t="s">
        <v>68</v>
      </c>
      <c r="B99" s="163">
        <v>17.234185536999998</v>
      </c>
      <c r="C99" s="164">
        <v>17.076851036000001</v>
      </c>
      <c r="E99" s="182">
        <v>96.547343280000007</v>
      </c>
      <c r="F99" s="173">
        <v>14.69893326</v>
      </c>
      <c r="H99" s="184">
        <v>95.373919180000001</v>
      </c>
      <c r="I99" s="179">
        <v>14.24844498</v>
      </c>
      <c r="K99" s="216" t="s">
        <v>68</v>
      </c>
      <c r="L99" s="215">
        <v>15.926954175000001</v>
      </c>
      <c r="M99" s="215">
        <v>15.613213709</v>
      </c>
    </row>
    <row r="100" spans="1:13" ht="15.75" x14ac:dyDescent="0.25">
      <c r="A100" s="166" t="s">
        <v>69</v>
      </c>
      <c r="B100" s="167">
        <v>17.192125453999999</v>
      </c>
      <c r="C100" s="168">
        <v>17.036578943999999</v>
      </c>
      <c r="E100" s="181">
        <v>97.171913090000004</v>
      </c>
      <c r="F100" s="174">
        <v>14.850541509999999</v>
      </c>
      <c r="H100" s="183">
        <v>95.946926770000005</v>
      </c>
      <c r="I100" s="180">
        <v>14.404291690000001</v>
      </c>
      <c r="K100" s="208" t="s">
        <v>69</v>
      </c>
      <c r="L100" s="207">
        <v>15.892025816</v>
      </c>
      <c r="M100" s="207">
        <v>15.573168427000001</v>
      </c>
    </row>
    <row r="101" spans="1:13" ht="15.75" x14ac:dyDescent="0.25">
      <c r="A101" s="162" t="s">
        <v>70</v>
      </c>
      <c r="B101" s="163">
        <v>17.152662007</v>
      </c>
      <c r="C101" s="164">
        <v>16.999228850000002</v>
      </c>
      <c r="E101" s="182">
        <v>97.788977270000004</v>
      </c>
      <c r="F101" s="173">
        <v>15.00449143</v>
      </c>
      <c r="H101" s="184">
        <v>96.516449120000004</v>
      </c>
      <c r="I101" s="179">
        <v>14.56167529</v>
      </c>
      <c r="K101" s="216" t="s">
        <v>70</v>
      </c>
      <c r="L101" s="215">
        <v>15.858240929000001</v>
      </c>
      <c r="M101" s="215">
        <v>15.53508019</v>
      </c>
    </row>
    <row r="102" spans="1:13" ht="15.75" x14ac:dyDescent="0.25">
      <c r="A102" s="166" t="s">
        <v>76</v>
      </c>
      <c r="B102" s="167">
        <v>17.115750983000002</v>
      </c>
      <c r="C102" s="168">
        <v>16.964757881000001</v>
      </c>
      <c r="E102" s="181">
        <v>98.399028299999998</v>
      </c>
      <c r="F102" s="174">
        <v>15.16078454</v>
      </c>
      <c r="H102" s="183">
        <v>97.083372109999999</v>
      </c>
      <c r="I102" s="180">
        <v>14.720640449999999</v>
      </c>
      <c r="K102" s="208" t="s">
        <v>76</v>
      </c>
      <c r="L102" s="207">
        <v>15.825588223</v>
      </c>
      <c r="M102" s="207">
        <v>15.498931449000001</v>
      </c>
    </row>
    <row r="103" spans="1:13" ht="15.75" x14ac:dyDescent="0.25">
      <c r="A103" s="162" t="s">
        <v>77</v>
      </c>
      <c r="B103" s="163">
        <v>17.081346773</v>
      </c>
      <c r="C103" s="164">
        <v>16.933123774999999</v>
      </c>
      <c r="E103" s="182">
        <v>99.002543380000006</v>
      </c>
      <c r="F103" s="173">
        <v>15.319402459999999</v>
      </c>
      <c r="H103" s="184">
        <v>97.648480699999993</v>
      </c>
      <c r="I103" s="179">
        <v>14.881213519999999</v>
      </c>
      <c r="K103" s="216" t="s">
        <v>77</v>
      </c>
      <c r="L103" s="215">
        <v>15.794057282000001</v>
      </c>
      <c r="M103" s="215">
        <v>15.464703844000001</v>
      </c>
    </row>
    <row r="104" spans="1:13" ht="15.75" x14ac:dyDescent="0.25">
      <c r="A104" s="166" t="s">
        <v>78</v>
      </c>
      <c r="B104" s="167">
        <v>17.049405037</v>
      </c>
      <c r="C104" s="168">
        <v>16.904284765</v>
      </c>
      <c r="E104" s="181">
        <v>99.599976999999996</v>
      </c>
      <c r="F104" s="174">
        <v>15.480303129999999</v>
      </c>
      <c r="H104" s="183">
        <v>98.212465789999996</v>
      </c>
      <c r="I104" s="180">
        <v>15.043405529999999</v>
      </c>
      <c r="K104" s="208" t="s">
        <v>78</v>
      </c>
      <c r="L104" s="207">
        <v>15.763642549</v>
      </c>
      <c r="M104" s="207">
        <v>15.432378168</v>
      </c>
    </row>
    <row r="105" spans="1:13" ht="15.75" x14ac:dyDescent="0.25">
      <c r="A105" s="162" t="s">
        <v>79</v>
      </c>
      <c r="B105" s="163">
        <v>17.019878597000002</v>
      </c>
      <c r="C105" s="164">
        <v>16.878199473999999</v>
      </c>
      <c r="E105" s="182">
        <v>100.19176400000001</v>
      </c>
      <c r="F105" s="173">
        <v>15.64343309</v>
      </c>
      <c r="H105" s="184">
        <v>98.775930689999996</v>
      </c>
      <c r="I105" s="179">
        <v>15.207214430000001</v>
      </c>
      <c r="K105" s="216" t="s">
        <v>79</v>
      </c>
      <c r="L105" s="215">
        <v>15.734336684000001</v>
      </c>
      <c r="M105" s="215">
        <v>15.401934364000001</v>
      </c>
    </row>
    <row r="106" spans="1:13" ht="15.75" x14ac:dyDescent="0.25">
      <c r="A106" s="166" t="s">
        <v>80</v>
      </c>
      <c r="B106" s="167">
        <v>16.992720871</v>
      </c>
      <c r="C106" s="168">
        <v>16.854826809999999</v>
      </c>
      <c r="E106" s="181">
        <v>100.77831980000001</v>
      </c>
      <c r="F106" s="174">
        <v>15.80872535</v>
      </c>
      <c r="H106" s="183">
        <v>99.339397349999999</v>
      </c>
      <c r="I106" s="180">
        <v>15.37262729</v>
      </c>
      <c r="K106" s="208" t="s">
        <v>80</v>
      </c>
      <c r="L106" s="207">
        <v>15.706135657000001</v>
      </c>
      <c r="M106" s="207">
        <v>15.373351541</v>
      </c>
    </row>
    <row r="107" spans="1:13" ht="15.75" x14ac:dyDescent="0.25">
      <c r="A107" s="162" t="s">
        <v>81</v>
      </c>
      <c r="B107" s="163">
        <v>16.967887393000002</v>
      </c>
      <c r="C107" s="164">
        <v>16.834126282</v>
      </c>
      <c r="E107" s="182">
        <v>101.3600411</v>
      </c>
      <c r="F107" s="173">
        <v>15.97610456</v>
      </c>
      <c r="H107" s="184">
        <v>99.903312200000002</v>
      </c>
      <c r="I107" s="179">
        <v>15.539622209999999</v>
      </c>
      <c r="K107" s="216" t="s">
        <v>81</v>
      </c>
      <c r="L107" s="215">
        <v>15.679040623000001</v>
      </c>
      <c r="M107" s="215">
        <v>15.346608415</v>
      </c>
    </row>
    <row r="108" spans="1:13" ht="15.75" x14ac:dyDescent="0.25">
      <c r="A108" s="166" t="s">
        <v>82</v>
      </c>
      <c r="B108" s="167">
        <v>16.945332150999999</v>
      </c>
      <c r="C108" s="168">
        <v>16.816056376999999</v>
      </c>
      <c r="E108" s="181">
        <v>101.9373058</v>
      </c>
      <c r="F108" s="174">
        <v>16.14548194</v>
      </c>
      <c r="H108" s="183">
        <v>100.4680516</v>
      </c>
      <c r="I108" s="180">
        <v>15.708170170000001</v>
      </c>
      <c r="K108" s="208" t="s">
        <v>82</v>
      </c>
      <c r="L108" s="207">
        <v>15.653051916000001</v>
      </c>
      <c r="M108" s="207">
        <v>15.321681814</v>
      </c>
    </row>
    <row r="109" spans="1:13" ht="15.75" x14ac:dyDescent="0.25">
      <c r="A109" s="162" t="s">
        <v>83</v>
      </c>
      <c r="B109" s="163">
        <v>16.925010280999999</v>
      </c>
      <c r="C109" s="164">
        <v>16.800576707000001</v>
      </c>
      <c r="E109" s="182">
        <v>102.5104735</v>
      </c>
      <c r="F109" s="173">
        <v>16.31676727</v>
      </c>
      <c r="H109" s="184">
        <v>101.03392700000001</v>
      </c>
      <c r="I109" s="179">
        <v>15.878236680000001</v>
      </c>
      <c r="K109" s="216" t="s">
        <v>83</v>
      </c>
      <c r="L109" s="215">
        <v>15.628172692</v>
      </c>
      <c r="M109" s="215">
        <v>15.298548972000001</v>
      </c>
    </row>
    <row r="110" spans="1:13" ht="15.75" x14ac:dyDescent="0.25">
      <c r="A110" s="166" t="s">
        <v>84</v>
      </c>
      <c r="B110" s="167">
        <v>16.906877789999999</v>
      </c>
      <c r="C110" s="168">
        <v>16.787646543000001</v>
      </c>
      <c r="E110" s="181">
        <v>103.07988520000001</v>
      </c>
      <c r="F110" s="174">
        <v>16.489864600000001</v>
      </c>
      <c r="H110" s="183">
        <v>101.6011898</v>
      </c>
      <c r="I110" s="180">
        <v>16.049784519999999</v>
      </c>
      <c r="K110" s="208" t="s">
        <v>84</v>
      </c>
      <c r="L110" s="207">
        <v>15.604407996999999</v>
      </c>
      <c r="M110" s="207">
        <v>15.277186178999999</v>
      </c>
    </row>
    <row r="111" spans="1:13" ht="15.75" x14ac:dyDescent="0.25">
      <c r="A111" s="162" t="s">
        <v>85</v>
      </c>
      <c r="B111" s="163">
        <v>16.890891793000002</v>
      </c>
      <c r="C111" s="164">
        <v>16.777225115</v>
      </c>
      <c r="E111" s="182">
        <v>103.645864</v>
      </c>
      <c r="F111" s="173">
        <v>16.664675290000002</v>
      </c>
      <c r="H111" s="184">
        <v>102.17003579999999</v>
      </c>
      <c r="I111" s="179">
        <v>16.2227706</v>
      </c>
      <c r="K111" s="216" t="s">
        <v>85</v>
      </c>
      <c r="L111" s="215">
        <v>15.58176458</v>
      </c>
      <c r="M111" s="215">
        <v>15.257569203999999</v>
      </c>
    </row>
    <row r="112" spans="1:13" ht="15.75" x14ac:dyDescent="0.25">
      <c r="A112" s="166" t="s">
        <v>86</v>
      </c>
      <c r="B112" s="167">
        <v>16.877010730999999</v>
      </c>
      <c r="C112" s="168">
        <v>16.769271587999999</v>
      </c>
      <c r="E112" s="181">
        <v>104.208713</v>
      </c>
      <c r="F112" s="174">
        <v>16.84109948</v>
      </c>
      <c r="H112" s="183">
        <v>102.7406094</v>
      </c>
      <c r="I112" s="180">
        <v>16.397153629999998</v>
      </c>
      <c r="K112" s="208" t="s">
        <v>86</v>
      </c>
      <c r="L112" s="207">
        <v>15.560250666</v>
      </c>
      <c r="M112" s="207">
        <v>15.239673384</v>
      </c>
    </row>
    <row r="113" spans="1:13" ht="15.75" x14ac:dyDescent="0.25">
      <c r="A113" s="162" t="s">
        <v>87</v>
      </c>
      <c r="B113" s="163">
        <v>16.865193741999999</v>
      </c>
      <c r="C113" s="164">
        <v>16.763745045</v>
      </c>
      <c r="E113" s="182">
        <v>104.7687256</v>
      </c>
      <c r="F113" s="173">
        <v>17.01903746</v>
      </c>
      <c r="H113" s="184">
        <v>103.3130077</v>
      </c>
      <c r="I113" s="179">
        <v>16.572891219999999</v>
      </c>
      <c r="K113" s="216" t="s">
        <v>87</v>
      </c>
      <c r="L113" s="215">
        <v>15.539874597000001</v>
      </c>
      <c r="M113" s="215">
        <v>15.22347371</v>
      </c>
    </row>
    <row r="114" spans="1:13" ht="15.75" x14ac:dyDescent="0.25">
      <c r="A114" s="166" t="s">
        <v>88</v>
      </c>
      <c r="B114" s="167">
        <v>16.855404830000001</v>
      </c>
      <c r="C114" s="168">
        <v>16.760604486999998</v>
      </c>
      <c r="E114" s="181">
        <v>105.3261638</v>
      </c>
      <c r="F114" s="174">
        <v>17.198390799999999</v>
      </c>
      <c r="H114" s="183">
        <v>103.8872839</v>
      </c>
      <c r="I114" s="180">
        <v>16.749941870000001</v>
      </c>
      <c r="K114" s="208" t="s">
        <v>88</v>
      </c>
      <c r="L114" s="207">
        <v>15.520649926999999</v>
      </c>
      <c r="M114" s="207">
        <v>15.208944906999999</v>
      </c>
    </row>
    <row r="115" spans="1:13" ht="15.75" x14ac:dyDescent="0.25">
      <c r="A115" s="162" t="s">
        <v>89</v>
      </c>
      <c r="B115" s="163">
        <v>16.847604904000001</v>
      </c>
      <c r="C115" s="164">
        <v>16.759808835000001</v>
      </c>
      <c r="E115" s="182">
        <v>105.8812823</v>
      </c>
      <c r="F115" s="173">
        <v>17.379063410000001</v>
      </c>
      <c r="H115" s="184">
        <v>104.4634511</v>
      </c>
      <c r="I115" s="179">
        <v>16.928265870000001</v>
      </c>
      <c r="K115" s="216" t="s">
        <v>89</v>
      </c>
      <c r="L115" s="215">
        <v>15.502584267</v>
      </c>
      <c r="M115" s="215">
        <v>15.196061520000001</v>
      </c>
    </row>
    <row r="116" spans="1:13" ht="15.75" x14ac:dyDescent="0.25">
      <c r="A116" s="166" t="s">
        <v>90</v>
      </c>
      <c r="B116" s="167">
        <v>16.841759872000001</v>
      </c>
      <c r="C116" s="168">
        <v>16.761316945000001</v>
      </c>
      <c r="E116" s="181">
        <v>106.43431459999999</v>
      </c>
      <c r="F116" s="174">
        <v>17.560962450000002</v>
      </c>
      <c r="H116" s="183">
        <v>105.04148530000001</v>
      </c>
      <c r="I116" s="180">
        <v>17.107826150000001</v>
      </c>
      <c r="K116" s="208" t="s">
        <v>90</v>
      </c>
      <c r="L116" s="207">
        <v>15.485689732000001</v>
      </c>
      <c r="M116" s="207">
        <v>15.184797987</v>
      </c>
    </row>
    <row r="117" spans="1:13" ht="15.75" x14ac:dyDescent="0.25">
      <c r="A117" s="162" t="s">
        <v>91</v>
      </c>
      <c r="B117" s="163">
        <v>16.837836598999999</v>
      </c>
      <c r="C117" s="164">
        <v>16.765087627</v>
      </c>
      <c r="E117" s="182">
        <v>106.98547689999999</v>
      </c>
      <c r="F117" s="173">
        <v>17.74400082</v>
      </c>
      <c r="H117" s="184">
        <v>105.62132870000001</v>
      </c>
      <c r="I117" s="179">
        <v>17.28858894</v>
      </c>
      <c r="K117" s="216" t="s">
        <v>91</v>
      </c>
      <c r="L117" s="215">
        <v>15.469977177000001</v>
      </c>
      <c r="M117" s="215">
        <v>15.175128708000001</v>
      </c>
    </row>
    <row r="118" spans="1:13" ht="15.75" x14ac:dyDescent="0.25">
      <c r="A118" s="166" t="s">
        <v>92</v>
      </c>
      <c r="B118" s="167">
        <v>16.835803651999999</v>
      </c>
      <c r="C118" s="168">
        <v>16.771079663999998</v>
      </c>
      <c r="E118" s="181">
        <v>107.53496800000001</v>
      </c>
      <c r="F118" s="174">
        <v>17.928091210000002</v>
      </c>
      <c r="H118" s="183">
        <v>106.2028921</v>
      </c>
      <c r="I118" s="180">
        <v>17.470524439999998</v>
      </c>
      <c r="K118" s="208" t="s">
        <v>92</v>
      </c>
      <c r="L118" s="207">
        <v>15.455456915999999</v>
      </c>
      <c r="M118" s="207">
        <v>15.167028107</v>
      </c>
    </row>
    <row r="119" spans="1:13" ht="15.75" x14ac:dyDescent="0.25">
      <c r="A119" s="162" t="s">
        <v>93</v>
      </c>
      <c r="B119" s="163">
        <v>16.835632225000001</v>
      </c>
      <c r="C119" s="164">
        <v>16.779251844000001</v>
      </c>
      <c r="E119" s="182">
        <v>108.0829695</v>
      </c>
      <c r="F119" s="173">
        <v>18.113156249999999</v>
      </c>
      <c r="H119" s="184">
        <v>106.78605829999999</v>
      </c>
      <c r="I119" s="179">
        <v>17.65360733</v>
      </c>
      <c r="K119" s="216" t="s">
        <v>93</v>
      </c>
      <c r="L119" s="215">
        <v>15.442139608</v>
      </c>
      <c r="M119" s="215">
        <v>15.160470684</v>
      </c>
    </row>
    <row r="120" spans="1:13" ht="15.75" x14ac:dyDescent="0.25">
      <c r="A120" s="166" t="s">
        <v>94</v>
      </c>
      <c r="B120" s="167">
        <v>16.837292715</v>
      </c>
      <c r="C120" s="168">
        <v>16.789562983</v>
      </c>
      <c r="E120" s="181">
        <v>108.6296457</v>
      </c>
      <c r="F120" s="174">
        <v>18.299122860000001</v>
      </c>
      <c r="H120" s="183">
        <v>107.37068410000001</v>
      </c>
      <c r="I120" s="180">
        <v>17.837817220000002</v>
      </c>
      <c r="K120" s="208" t="s">
        <v>94</v>
      </c>
      <c r="L120" s="207">
        <v>15.430032071999999</v>
      </c>
      <c r="M120" s="207">
        <v>15.155431067</v>
      </c>
    </row>
    <row r="121" spans="1:13" ht="15.75" x14ac:dyDescent="0.25">
      <c r="A121" s="162" t="s">
        <v>95</v>
      </c>
      <c r="B121" s="163">
        <v>16.840758382000001</v>
      </c>
      <c r="C121" s="164">
        <v>16.801971952999999</v>
      </c>
      <c r="E121" s="182">
        <v>109.1751441</v>
      </c>
      <c r="F121" s="173">
        <v>18.485924130000001</v>
      </c>
      <c r="H121" s="184">
        <v>107.9566031</v>
      </c>
      <c r="I121" s="179">
        <v>18.02313904</v>
      </c>
      <c r="K121" s="216" t="s">
        <v>95</v>
      </c>
      <c r="L121" s="215">
        <v>15.419141631</v>
      </c>
      <c r="M121" s="215">
        <v>15.15188405</v>
      </c>
    </row>
    <row r="122" spans="1:13" ht="15.75" x14ac:dyDescent="0.25">
      <c r="A122" s="166" t="s">
        <v>96</v>
      </c>
      <c r="B122" s="167">
        <v>16.846003190000001</v>
      </c>
      <c r="C122" s="168">
        <v>16.816437921999999</v>
      </c>
      <c r="E122" s="181">
        <v>109.7195954</v>
      </c>
      <c r="F122" s="174">
        <v>18.67349965</v>
      </c>
      <c r="H122" s="183">
        <v>108.5436278</v>
      </c>
      <c r="I122" s="180">
        <v>18.209564180000001</v>
      </c>
      <c r="K122" s="208" t="s">
        <v>96</v>
      </c>
      <c r="L122" s="207">
        <v>15.409473561</v>
      </c>
      <c r="M122" s="207">
        <v>15.149804788000001</v>
      </c>
    </row>
    <row r="123" spans="1:13" ht="15.75" x14ac:dyDescent="0.25">
      <c r="A123" s="162" t="s">
        <v>97</v>
      </c>
      <c r="B123" s="163">
        <v>16.853001975000002</v>
      </c>
      <c r="C123" s="164">
        <v>16.832919646000001</v>
      </c>
      <c r="E123" s="182">
        <v>110.2631136</v>
      </c>
      <c r="F123" s="173">
        <v>18.86179576</v>
      </c>
      <c r="H123" s="184">
        <v>109.13155209999999</v>
      </c>
      <c r="I123" s="179">
        <v>18.397087599999999</v>
      </c>
      <c r="K123" s="216" t="s">
        <v>97</v>
      </c>
      <c r="L123" s="215">
        <v>15.401031388</v>
      </c>
      <c r="M123" s="215">
        <v>15.149168250000001</v>
      </c>
    </row>
    <row r="124" spans="1:13" ht="15.75" x14ac:dyDescent="0.25">
      <c r="A124" s="166" t="s">
        <v>98</v>
      </c>
      <c r="B124" s="167">
        <v>16.861731244000001</v>
      </c>
      <c r="C124" s="168">
        <v>16.851376250000001</v>
      </c>
      <c r="E124" s="181">
        <v>110.8057967</v>
      </c>
      <c r="F124" s="174">
        <v>19.05076579</v>
      </c>
      <c r="H124" s="183">
        <v>109.7201531</v>
      </c>
      <c r="I124" s="180">
        <v>18.585712430000001</v>
      </c>
      <c r="K124" s="208" t="s">
        <v>98</v>
      </c>
      <c r="L124" s="207">
        <v>15.393817852</v>
      </c>
      <c r="M124" s="207">
        <v>15.149949834999999</v>
      </c>
    </row>
    <row r="125" spans="1:13" ht="15.75" x14ac:dyDescent="0.25">
      <c r="A125" s="162" t="s">
        <v>99</v>
      </c>
      <c r="B125" s="163">
        <v>16.872165194000001</v>
      </c>
      <c r="C125" s="164">
        <v>16.871767854000002</v>
      </c>
      <c r="E125" s="182">
        <v>111.34772649999999</v>
      </c>
      <c r="F125" s="173">
        <v>19.24037019</v>
      </c>
      <c r="H125" s="184">
        <v>110.3091934</v>
      </c>
      <c r="I125" s="179">
        <v>18.775447280000002</v>
      </c>
      <c r="K125" s="216" t="s">
        <v>99</v>
      </c>
      <c r="L125" s="215">
        <v>15.387830936</v>
      </c>
      <c r="M125" s="215">
        <v>15.152125851999999</v>
      </c>
    </row>
    <row r="126" spans="1:13" ht="15.75" x14ac:dyDescent="0.25">
      <c r="A126" s="166" t="s">
        <v>100</v>
      </c>
      <c r="B126" s="167">
        <v>16.884280854</v>
      </c>
      <c r="C126" s="168">
        <v>16.894053448000001</v>
      </c>
      <c r="E126" s="181">
        <v>111.88896939999999</v>
      </c>
      <c r="F126" s="174">
        <v>19.43057662</v>
      </c>
      <c r="H126" s="183">
        <v>110.89842280000001</v>
      </c>
      <c r="I126" s="180">
        <v>18.966307</v>
      </c>
      <c r="K126" s="208" t="s">
        <v>100</v>
      </c>
      <c r="L126" s="207">
        <v>15.383069448000001</v>
      </c>
      <c r="M126" s="207">
        <v>15.155671862</v>
      </c>
    </row>
    <row r="127" spans="1:13" ht="15.75" x14ac:dyDescent="0.25">
      <c r="A127" s="162" t="s">
        <v>101</v>
      </c>
      <c r="B127" s="163">
        <v>16.898054589000001</v>
      </c>
      <c r="C127" s="164">
        <v>16.918192851000001</v>
      </c>
      <c r="E127" s="182">
        <v>112.42957610000001</v>
      </c>
      <c r="F127" s="173">
        <v>19.621360070000001</v>
      </c>
      <c r="H127" s="184">
        <v>111.4875806</v>
      </c>
      <c r="I127" s="179">
        <v>19.158312670000001</v>
      </c>
      <c r="K127" s="216" t="s">
        <v>101</v>
      </c>
      <c r="L127" s="215">
        <v>15.37952958</v>
      </c>
      <c r="M127" s="215">
        <v>15.160564192000001</v>
      </c>
    </row>
    <row r="128" spans="1:13" ht="15.75" x14ac:dyDescent="0.25">
      <c r="A128" s="166" t="s">
        <v>102</v>
      </c>
      <c r="B128" s="167">
        <v>16.913462745</v>
      </c>
      <c r="C128" s="168">
        <v>16.94414613</v>
      </c>
      <c r="E128" s="181">
        <v>112.9695827</v>
      </c>
      <c r="F128" s="174">
        <v>19.8127028</v>
      </c>
      <c r="H128" s="183">
        <v>112.0763967</v>
      </c>
      <c r="I128" s="180">
        <v>19.351491630000002</v>
      </c>
      <c r="K128" s="208" t="s">
        <v>102</v>
      </c>
      <c r="L128" s="207">
        <v>15.37720582</v>
      </c>
      <c r="M128" s="207">
        <v>15.166779473</v>
      </c>
    </row>
    <row r="129" spans="1:13" ht="15.75" x14ac:dyDescent="0.25">
      <c r="A129" s="162" t="s">
        <v>103</v>
      </c>
      <c r="B129" s="163">
        <v>16.930481531000002</v>
      </c>
      <c r="C129" s="164">
        <v>16.971873618</v>
      </c>
      <c r="E129" s="182">
        <v>113.5090108</v>
      </c>
      <c r="F129" s="173">
        <v>20.004594399999998</v>
      </c>
      <c r="H129" s="184">
        <v>112.6645943</v>
      </c>
      <c r="I129" s="179">
        <v>19.54587708</v>
      </c>
      <c r="K129" s="216" t="s">
        <v>103</v>
      </c>
      <c r="L129" s="215">
        <v>15.376091067999999</v>
      </c>
      <c r="M129" s="215">
        <v>15.174294640999999</v>
      </c>
    </row>
    <row r="130" spans="1:13" ht="15.75" x14ac:dyDescent="0.25">
      <c r="A130" s="166" t="s">
        <v>104</v>
      </c>
      <c r="B130" s="167">
        <v>16.949086925</v>
      </c>
      <c r="C130" s="168">
        <v>17.001335934</v>
      </c>
      <c r="E130" s="181">
        <v>114.04786780000001</v>
      </c>
      <c r="F130" s="174">
        <v>20.197031710000001</v>
      </c>
      <c r="H130" s="183">
        <v>113.25189020000001</v>
      </c>
      <c r="I130" s="180">
        <v>19.741508540000002</v>
      </c>
      <c r="K130" s="208" t="s">
        <v>104</v>
      </c>
      <c r="L130" s="207">
        <v>15.376176765</v>
      </c>
      <c r="M130" s="207">
        <v>15.183086936</v>
      </c>
    </row>
    <row r="131" spans="1:13" ht="15.75" x14ac:dyDescent="0.25">
      <c r="A131" s="162" t="s">
        <v>105</v>
      </c>
      <c r="B131" s="163">
        <v>16.969254612</v>
      </c>
      <c r="C131" s="164">
        <v>17.032493990999999</v>
      </c>
      <c r="E131" s="182">
        <v>114.5861486</v>
      </c>
      <c r="F131" s="173">
        <v>20.39001872</v>
      </c>
      <c r="H131" s="184">
        <v>113.8380006</v>
      </c>
      <c r="I131" s="179">
        <v>19.93843145</v>
      </c>
      <c r="K131" s="216" t="s">
        <v>105</v>
      </c>
      <c r="L131" s="215">
        <v>15.377453040000001</v>
      </c>
      <c r="M131" s="215">
        <v>15.193133896000001</v>
      </c>
    </row>
    <row r="132" spans="1:13" ht="15.75" x14ac:dyDescent="0.25">
      <c r="A132" s="166" t="s">
        <v>106</v>
      </c>
      <c r="B132" s="167">
        <v>16.990959932999999</v>
      </c>
      <c r="C132" s="168">
        <v>17.065309004</v>
      </c>
      <c r="E132" s="181">
        <v>115.12383149999999</v>
      </c>
      <c r="F132" s="174">
        <v>20.583568620000001</v>
      </c>
      <c r="H132" s="183">
        <v>114.4226317</v>
      </c>
      <c r="I132" s="180">
        <v>20.136696229999998</v>
      </c>
      <c r="K132" s="208" t="s">
        <v>106</v>
      </c>
      <c r="L132" s="207">
        <v>15.379908859</v>
      </c>
      <c r="M132" s="207">
        <v>15.204413347999999</v>
      </c>
    </row>
    <row r="133" spans="1:13" ht="15.75" x14ac:dyDescent="0.25">
      <c r="A133" s="162" t="s">
        <v>107</v>
      </c>
      <c r="B133" s="163">
        <v>17.01417786</v>
      </c>
      <c r="C133" s="164">
        <v>17.099741723000001</v>
      </c>
      <c r="E133" s="182">
        <v>115.66088619999999</v>
      </c>
      <c r="F133" s="173">
        <v>20.777695649999998</v>
      </c>
      <c r="H133" s="184">
        <v>115.0054978</v>
      </c>
      <c r="I133" s="179">
        <v>20.336359609999999</v>
      </c>
      <c r="K133" s="216" t="s">
        <v>107</v>
      </c>
      <c r="L133" s="215">
        <v>15.383532169</v>
      </c>
      <c r="M133" s="215">
        <v>15.216902957</v>
      </c>
    </row>
    <row r="134" spans="1:13" ht="15.75" x14ac:dyDescent="0.25">
      <c r="A134" s="166" t="s">
        <v>108</v>
      </c>
      <c r="B134" s="167">
        <v>17.038882985000001</v>
      </c>
      <c r="C134" s="168">
        <v>17.135754682000002</v>
      </c>
      <c r="E134" s="181">
        <v>116.1972691</v>
      </c>
      <c r="F134" s="174">
        <v>20.972426309999999</v>
      </c>
      <c r="H134" s="183">
        <v>115.58630890000001</v>
      </c>
      <c r="I134" s="180">
        <v>20.53748298</v>
      </c>
      <c r="K134" s="208" t="s">
        <v>108</v>
      </c>
      <c r="L134" s="207">
        <v>15.388310046000001</v>
      </c>
      <c r="M134" s="207">
        <v>15.230581504</v>
      </c>
    </row>
    <row r="135" spans="1:13" ht="15.75" x14ac:dyDescent="0.25">
      <c r="A135" s="162" t="s">
        <v>109</v>
      </c>
      <c r="B135" s="163">
        <v>17.065049526999999</v>
      </c>
      <c r="C135" s="164">
        <v>17.173309678999999</v>
      </c>
      <c r="E135" s="182">
        <v>116.73292499999999</v>
      </c>
      <c r="F135" s="173">
        <v>21.167791919999999</v>
      </c>
      <c r="H135" s="184">
        <v>116.1647782</v>
      </c>
      <c r="I135" s="179">
        <v>20.740132769999999</v>
      </c>
      <c r="K135" s="216" t="s">
        <v>109</v>
      </c>
      <c r="L135" s="215">
        <v>15.394228829999999</v>
      </c>
      <c r="M135" s="215">
        <v>15.245427447999999</v>
      </c>
    </row>
    <row r="136" spans="1:13" ht="15.75" x14ac:dyDescent="0.25">
      <c r="A136" s="166" t="s">
        <v>110</v>
      </c>
      <c r="B136" s="167">
        <v>17.092652231999999</v>
      </c>
      <c r="C136" s="168">
        <v>17.212369113000001</v>
      </c>
      <c r="E136" s="181">
        <v>117.2677879</v>
      </c>
      <c r="F136" s="174">
        <v>21.36383013</v>
      </c>
      <c r="H136" s="183">
        <v>116.7406221</v>
      </c>
      <c r="I136" s="180">
        <v>20.944380280000001</v>
      </c>
      <c r="K136" s="208" t="s">
        <v>110</v>
      </c>
      <c r="L136" s="207">
        <v>15.40127496</v>
      </c>
      <c r="M136" s="207">
        <v>15.261419664</v>
      </c>
    </row>
    <row r="137" spans="1:13" ht="15.75" x14ac:dyDescent="0.25">
      <c r="A137" s="162" t="s">
        <v>111</v>
      </c>
      <c r="B137" s="163">
        <v>17.121663186999999</v>
      </c>
      <c r="C137" s="164">
        <v>17.252895716000001</v>
      </c>
      <c r="E137" s="182">
        <v>117.80178189999999</v>
      </c>
      <c r="F137" s="173">
        <v>21.560584670000001</v>
      </c>
      <c r="H137" s="184">
        <v>117.31356220000001</v>
      </c>
      <c r="I137" s="179">
        <v>21.15030093</v>
      </c>
      <c r="K137" s="216" t="s">
        <v>111</v>
      </c>
      <c r="L137" s="215">
        <v>15.409432519999999</v>
      </c>
      <c r="M137" s="215">
        <v>15.278537278</v>
      </c>
    </row>
    <row r="138" spans="1:13" ht="15.75" x14ac:dyDescent="0.25">
      <c r="A138" s="166" t="s">
        <v>112</v>
      </c>
      <c r="B138" s="167">
        <v>17.152056291000001</v>
      </c>
      <c r="C138" s="168">
        <v>17.294852555999999</v>
      </c>
      <c r="E138" s="181">
        <v>118.3348215</v>
      </c>
      <c r="F138" s="174">
        <v>21.758105059999998</v>
      </c>
      <c r="H138" s="183">
        <v>117.8833259</v>
      </c>
      <c r="I138" s="180">
        <v>21.357973319999999</v>
      </c>
      <c r="K138" s="208" t="s">
        <v>112</v>
      </c>
      <c r="L138" s="207">
        <v>15.418686911</v>
      </c>
      <c r="M138" s="207">
        <v>15.296759667</v>
      </c>
    </row>
    <row r="139" spans="1:13" ht="15.75" x14ac:dyDescent="0.25">
      <c r="A139" s="162" t="s">
        <v>113</v>
      </c>
      <c r="B139" s="163">
        <v>17.183804540000001</v>
      </c>
      <c r="C139" s="164">
        <v>17.338203042</v>
      </c>
      <c r="E139" s="182">
        <v>118.86681230000001</v>
      </c>
      <c r="F139" s="173">
        <v>21.956446270000001</v>
      </c>
      <c r="H139" s="184">
        <v>118.4496481</v>
      </c>
      <c r="I139" s="179">
        <v>21.567480450000001</v>
      </c>
      <c r="K139" s="216" t="s">
        <v>113</v>
      </c>
      <c r="L139" s="215">
        <v>15.429022732</v>
      </c>
      <c r="M139" s="215">
        <v>15.316066442</v>
      </c>
    </row>
    <row r="140" spans="1:13" ht="15.75" x14ac:dyDescent="0.25">
      <c r="A140" s="166" t="s">
        <v>114</v>
      </c>
      <c r="B140" s="167">
        <v>17.216880720999999</v>
      </c>
      <c r="C140" s="168">
        <v>17.382910923000001</v>
      </c>
      <c r="E140" s="181">
        <v>119.39765199999999</v>
      </c>
      <c r="F140" s="174">
        <v>22.155668420000001</v>
      </c>
      <c r="H140" s="183">
        <v>119.0122722</v>
      </c>
      <c r="I140" s="180">
        <v>21.77890902</v>
      </c>
      <c r="K140" s="208" t="s">
        <v>114</v>
      </c>
      <c r="L140" s="207">
        <v>15.440424387</v>
      </c>
      <c r="M140" s="207">
        <v>15.336437447</v>
      </c>
    </row>
    <row r="141" spans="1:13" ht="15.75" x14ac:dyDescent="0.25">
      <c r="A141" s="162" t="s">
        <v>115</v>
      </c>
      <c r="B141" s="163">
        <v>17.251256966</v>
      </c>
      <c r="C141" s="164">
        <v>17.428940294</v>
      </c>
      <c r="E141" s="182">
        <v>119.9272309</v>
      </c>
      <c r="F141" s="173">
        <v>22.35583862</v>
      </c>
      <c r="H141" s="184">
        <v>119.5709513</v>
      </c>
      <c r="I141" s="179">
        <v>21.992346860000001</v>
      </c>
      <c r="K141" s="216" t="s">
        <v>115</v>
      </c>
      <c r="L141" s="215">
        <v>15.452875806</v>
      </c>
      <c r="M141" s="215">
        <v>15.357852744000001</v>
      </c>
    </row>
    <row r="142" spans="1:13" ht="15.75" x14ac:dyDescent="0.25">
      <c r="A142" s="166" t="s">
        <v>116</v>
      </c>
      <c r="B142" s="167">
        <v>17.286907077999999</v>
      </c>
      <c r="C142" s="168">
        <v>17.476255597000002</v>
      </c>
      <c r="E142" s="181">
        <v>120.455433</v>
      </c>
      <c r="F142" s="174">
        <v>22.557022679999999</v>
      </c>
      <c r="H142" s="183">
        <v>120.1254495</v>
      </c>
      <c r="I142" s="180">
        <v>22.207885409999999</v>
      </c>
      <c r="K142" s="208" t="s">
        <v>116</v>
      </c>
      <c r="L142" s="207">
        <v>15.466362178000001</v>
      </c>
      <c r="M142" s="207">
        <v>15.380292613</v>
      </c>
    </row>
    <row r="143" spans="1:13" ht="15.75" x14ac:dyDescent="0.25">
      <c r="A143" s="162" t="s">
        <v>117</v>
      </c>
      <c r="B143" s="163">
        <v>17.323802540999999</v>
      </c>
      <c r="C143" s="164">
        <v>17.524821619000001</v>
      </c>
      <c r="E143" s="182">
        <v>120.9821362</v>
      </c>
      <c r="F143" s="173">
        <v>22.75929558</v>
      </c>
      <c r="H143" s="184">
        <v>120.67554269999999</v>
      </c>
      <c r="I143" s="179">
        <v>22.4256177</v>
      </c>
      <c r="K143" s="216" t="s">
        <v>117</v>
      </c>
      <c r="L143" s="215">
        <v>15.480867041</v>
      </c>
      <c r="M143" s="215">
        <v>15.403737534999999</v>
      </c>
    </row>
    <row r="144" spans="1:13" ht="15.75" x14ac:dyDescent="0.25">
      <c r="A144" s="166" t="s">
        <v>118</v>
      </c>
      <c r="B144" s="167">
        <v>17.361915701000001</v>
      </c>
      <c r="C144" s="168">
        <v>17.574603494000002</v>
      </c>
      <c r="E144" s="181">
        <v>121.5072136</v>
      </c>
      <c r="F144" s="174">
        <v>22.962734399999999</v>
      </c>
      <c r="H144" s="183">
        <v>121.22102</v>
      </c>
      <c r="I144" s="180">
        <v>22.64563824</v>
      </c>
      <c r="K144" s="208" t="s">
        <v>118</v>
      </c>
      <c r="L144" s="207">
        <v>15.496374654</v>
      </c>
      <c r="M144" s="207">
        <v>15.428168190999999</v>
      </c>
    </row>
    <row r="145" spans="1:13" ht="15.75" x14ac:dyDescent="0.25">
      <c r="A145" s="162" t="s">
        <v>119</v>
      </c>
      <c r="B145" s="163">
        <v>17.401218910000001</v>
      </c>
      <c r="C145" s="164">
        <v>17.625566704000001</v>
      </c>
      <c r="E145" s="182">
        <v>122.03053420000001</v>
      </c>
      <c r="F145" s="173">
        <v>23.16741888</v>
      </c>
      <c r="H145" s="184">
        <v>121.76168439999999</v>
      </c>
      <c r="I145" s="179">
        <v>22.868042580000001</v>
      </c>
      <c r="K145" s="216" t="s">
        <v>119</v>
      </c>
      <c r="L145" s="215">
        <v>15.512869363</v>
      </c>
      <c r="M145" s="215">
        <v>15.453565451999999</v>
      </c>
    </row>
    <row r="146" spans="1:13" ht="15.75" x14ac:dyDescent="0.25">
      <c r="A146" s="166" t="s">
        <v>120</v>
      </c>
      <c r="B146" s="167">
        <v>17.441684563999999</v>
      </c>
      <c r="C146" s="168">
        <v>17.677677079999999</v>
      </c>
      <c r="E146" s="181">
        <v>122.55196340000001</v>
      </c>
      <c r="F146" s="174">
        <v>23.373433410000001</v>
      </c>
      <c r="H146" s="183">
        <v>122.2973542</v>
      </c>
      <c r="I146" s="180">
        <v>23.09292679</v>
      </c>
      <c r="K146" s="208" t="s">
        <v>120</v>
      </c>
      <c r="L146" s="207">
        <v>15.530335632</v>
      </c>
      <c r="M146" s="207">
        <v>15.479910373999999</v>
      </c>
    </row>
    <row r="147" spans="1:13" ht="15.75" x14ac:dyDescent="0.25">
      <c r="A147" s="162" t="s">
        <v>121</v>
      </c>
      <c r="B147" s="163">
        <v>17.483285127999999</v>
      </c>
      <c r="C147" s="164">
        <v>17.730900798</v>
      </c>
      <c r="E147" s="182">
        <v>123.0713645</v>
      </c>
      <c r="F147" s="173">
        <v>23.58086145</v>
      </c>
      <c r="H147" s="184">
        <v>122.82786400000001</v>
      </c>
      <c r="I147" s="179">
        <v>23.32038549</v>
      </c>
      <c r="K147" s="216" t="s">
        <v>121</v>
      </c>
      <c r="L147" s="215">
        <v>15.548758064999999</v>
      </c>
      <c r="M147" s="215">
        <v>15.507184187</v>
      </c>
    </row>
    <row r="148" spans="1:13" ht="15.75" x14ac:dyDescent="0.25">
      <c r="A148" s="166" t="s">
        <v>122</v>
      </c>
      <c r="B148" s="167">
        <v>17.525993168999999</v>
      </c>
      <c r="C148" s="168">
        <v>17.785204382</v>
      </c>
      <c r="E148" s="181">
        <v>123.588599</v>
      </c>
      <c r="F148" s="174">
        <v>23.789790960000001</v>
      </c>
      <c r="H148" s="183">
        <v>123.3530652</v>
      </c>
      <c r="I148" s="180">
        <v>23.550518709999999</v>
      </c>
      <c r="K148" s="208" t="s">
        <v>122</v>
      </c>
      <c r="L148" s="207">
        <v>15.568121425999999</v>
      </c>
      <c r="M148" s="207">
        <v>15.535368292999999</v>
      </c>
    </row>
    <row r="149" spans="1:13" ht="15.75" x14ac:dyDescent="0.25">
      <c r="A149" s="162" t="s">
        <v>123</v>
      </c>
      <c r="B149" s="163">
        <v>17.569781379999998</v>
      </c>
      <c r="C149" s="164">
        <v>17.840554703999999</v>
      </c>
      <c r="E149" s="182">
        <v>124.10353120000001</v>
      </c>
      <c r="F149" s="173">
        <v>24.000310639999999</v>
      </c>
      <c r="H149" s="184">
        <v>123.87282759999999</v>
      </c>
      <c r="I149" s="179">
        <v>23.783416519999999</v>
      </c>
      <c r="K149" s="216" t="s">
        <v>123</v>
      </c>
      <c r="L149" s="215">
        <v>15.588410651</v>
      </c>
      <c r="M149" s="215">
        <v>15.564444257</v>
      </c>
    </row>
    <row r="150" spans="1:13" ht="15.75" x14ac:dyDescent="0.25">
      <c r="A150" s="166" t="s">
        <v>124</v>
      </c>
      <c r="B150" s="167">
        <v>17.614622658999998</v>
      </c>
      <c r="C150" s="168">
        <v>17.896918974999998</v>
      </c>
      <c r="E150" s="181">
        <v>124.6160161</v>
      </c>
      <c r="F150" s="174">
        <v>24.21251028</v>
      </c>
      <c r="H150" s="183">
        <v>124.38704</v>
      </c>
      <c r="I150" s="180">
        <v>24.019177030000002</v>
      </c>
      <c r="K150" s="208" t="s">
        <v>124</v>
      </c>
      <c r="L150" s="207">
        <v>15.60961101</v>
      </c>
      <c r="M150" s="207">
        <v>15.594393802000001</v>
      </c>
    </row>
    <row r="151" spans="1:13" ht="15.75" x14ac:dyDescent="0.25">
      <c r="A151" s="162" t="s">
        <v>125</v>
      </c>
      <c r="B151" s="163">
        <v>17.660489848000001</v>
      </c>
      <c r="C151" s="164">
        <v>17.95426475</v>
      </c>
      <c r="E151" s="182">
        <v>125.1259182</v>
      </c>
      <c r="F151" s="173">
        <v>24.426480430000002</v>
      </c>
      <c r="H151" s="184">
        <v>124.89561140000001</v>
      </c>
      <c r="I151" s="179">
        <v>24.257890740000001</v>
      </c>
      <c r="K151" s="216" t="s">
        <v>125</v>
      </c>
      <c r="L151" s="215">
        <v>15.631707349999999</v>
      </c>
      <c r="M151" s="215">
        <v>15.625198798</v>
      </c>
    </row>
    <row r="152" spans="1:13" ht="15.75" x14ac:dyDescent="0.25">
      <c r="A152" s="166" t="s">
        <v>126</v>
      </c>
      <c r="B152" s="167">
        <v>17.707356315999998</v>
      </c>
      <c r="C152" s="168">
        <v>18.012559920000001</v>
      </c>
      <c r="E152" s="181">
        <v>125.6331012</v>
      </c>
      <c r="F152" s="174">
        <v>24.642312</v>
      </c>
      <c r="H152" s="183">
        <v>125.398472</v>
      </c>
      <c r="I152" s="180">
        <v>24.49964778</v>
      </c>
      <c r="K152" s="208" t="s">
        <v>126</v>
      </c>
      <c r="L152" s="207">
        <v>15.654685627999999</v>
      </c>
      <c r="M152" s="207">
        <v>15.656841259</v>
      </c>
    </row>
    <row r="153" spans="1:13" ht="15.75" x14ac:dyDescent="0.25">
      <c r="A153" s="162" t="s">
        <v>127</v>
      </c>
      <c r="B153" s="163">
        <v>17.755195412999999</v>
      </c>
      <c r="C153" s="164">
        <v>18.071772705000001</v>
      </c>
      <c r="E153" s="182">
        <v>126.1374319</v>
      </c>
      <c r="F153" s="173">
        <v>24.860095959999999</v>
      </c>
      <c r="H153" s="184">
        <v>125.895574</v>
      </c>
      <c r="I153" s="179">
        <v>24.74453536</v>
      </c>
      <c r="K153" s="216" t="s">
        <v>127</v>
      </c>
      <c r="L153" s="215">
        <v>15.678531387</v>
      </c>
      <c r="M153" s="215">
        <v>15.689303334</v>
      </c>
    </row>
    <row r="154" spans="1:13" ht="15.75" x14ac:dyDescent="0.25">
      <c r="A154" s="166" t="s">
        <v>128</v>
      </c>
      <c r="B154" s="167">
        <v>17.803980771999999</v>
      </c>
      <c r="C154" s="168">
        <v>18.131871655000001</v>
      </c>
      <c r="E154" s="181">
        <v>126.6387804</v>
      </c>
      <c r="F154" s="174">
        <v>25.07992303</v>
      </c>
      <c r="H154" s="183">
        <v>126.38689290000001</v>
      </c>
      <c r="I154" s="180">
        <v>24.992637349999999</v>
      </c>
      <c r="K154" s="208" t="s">
        <v>128</v>
      </c>
      <c r="L154" s="207">
        <v>15.703230518</v>
      </c>
      <c r="M154" s="207">
        <v>15.722567299</v>
      </c>
    </row>
    <row r="155" spans="1:13" ht="15.75" x14ac:dyDescent="0.25">
      <c r="A155" s="162" t="s">
        <v>129</v>
      </c>
      <c r="B155" s="163">
        <v>17.853686264</v>
      </c>
      <c r="C155" s="164">
        <v>18.192825644999999</v>
      </c>
      <c r="E155" s="182">
        <v>127.13702170000001</v>
      </c>
      <c r="F155" s="173">
        <v>25.301885840000001</v>
      </c>
      <c r="H155" s="184">
        <v>126.8724284</v>
      </c>
      <c r="I155" s="179">
        <v>25.24403371</v>
      </c>
      <c r="K155" s="216" t="s">
        <v>129</v>
      </c>
      <c r="L155" s="215">
        <v>15.728769113</v>
      </c>
      <c r="M155" s="215">
        <v>15.756615553</v>
      </c>
    </row>
    <row r="156" spans="1:13" ht="15.75" x14ac:dyDescent="0.25">
      <c r="A156" s="166" t="s">
        <v>130</v>
      </c>
      <c r="B156" s="167">
        <v>17.904286020000001</v>
      </c>
      <c r="C156" s="168">
        <v>18.254603884000002</v>
      </c>
      <c r="E156" s="181">
        <v>127.6320362</v>
      </c>
      <c r="F156" s="174">
        <v>25.526069769999999</v>
      </c>
      <c r="H156" s="183">
        <v>127.3522056</v>
      </c>
      <c r="I156" s="180">
        <v>25.498802640000001</v>
      </c>
      <c r="K156" s="208" t="s">
        <v>130</v>
      </c>
      <c r="L156" s="207">
        <v>15.755133465</v>
      </c>
      <c r="M156" s="207">
        <v>15.791430622</v>
      </c>
    </row>
    <row r="157" spans="1:13" ht="15.75" x14ac:dyDescent="0.25">
      <c r="A157" s="162" t="s">
        <v>131</v>
      </c>
      <c r="B157" s="163">
        <v>17.955754442</v>
      </c>
      <c r="C157" s="164">
        <v>18.317175942999999</v>
      </c>
      <c r="E157" s="182">
        <v>128.12371039999999</v>
      </c>
      <c r="F157" s="173">
        <v>25.752565279999999</v>
      </c>
      <c r="H157" s="184">
        <v>127.8262759</v>
      </c>
      <c r="I157" s="179">
        <v>25.757016799999999</v>
      </c>
      <c r="K157" s="216" t="s">
        <v>131</v>
      </c>
      <c r="L157" s="215">
        <v>15.782310065000001</v>
      </c>
      <c r="M157" s="215">
        <v>15.826995169</v>
      </c>
    </row>
    <row r="158" spans="1:13" ht="15.75" x14ac:dyDescent="0.25">
      <c r="A158" s="166" t="s">
        <v>132</v>
      </c>
      <c r="B158" s="167">
        <v>18.008066222</v>
      </c>
      <c r="C158" s="168">
        <v>18.380512412000002</v>
      </c>
      <c r="E158" s="181">
        <v>128.61193829999999</v>
      </c>
      <c r="F158" s="174">
        <v>25.981459900000001</v>
      </c>
      <c r="H158" s="183">
        <v>128.2947187</v>
      </c>
      <c r="I158" s="180">
        <v>26.01874261</v>
      </c>
      <c r="K158" s="208" t="s">
        <v>132</v>
      </c>
      <c r="L158" s="207">
        <v>15.810285603000001</v>
      </c>
      <c r="M158" s="207">
        <v>15.863292406999999</v>
      </c>
    </row>
    <row r="159" spans="1:13" ht="15.75" x14ac:dyDescent="0.25">
      <c r="A159" s="162" t="s">
        <v>133</v>
      </c>
      <c r="B159" s="163">
        <v>18.061196533</v>
      </c>
      <c r="C159" s="164">
        <v>18.444582911000001</v>
      </c>
      <c r="E159" s="182">
        <v>129.096622</v>
      </c>
      <c r="F159" s="173">
        <v>26.212839899999999</v>
      </c>
      <c r="H159" s="184">
        <v>128.757642</v>
      </c>
      <c r="I159" s="179">
        <v>26.28404312</v>
      </c>
      <c r="K159" s="216" t="s">
        <v>133</v>
      </c>
      <c r="L159" s="215">
        <v>15.839047084000001</v>
      </c>
      <c r="M159" s="215">
        <v>15.900304841000001</v>
      </c>
    </row>
    <row r="160" spans="1:13" ht="15.75" x14ac:dyDescent="0.25">
      <c r="A160" s="166" t="s">
        <v>134</v>
      </c>
      <c r="B160" s="167">
        <v>18.115120099999999</v>
      </c>
      <c r="C160" s="168">
        <v>18.509357979000001</v>
      </c>
      <c r="E160" s="181">
        <v>129.57767229999999</v>
      </c>
      <c r="F160" s="174">
        <v>26.446790270000001</v>
      </c>
      <c r="H160" s="183">
        <v>129.2151839</v>
      </c>
      <c r="I160" s="180">
        <v>26.552975069999999</v>
      </c>
      <c r="K160" s="208" t="s">
        <v>134</v>
      </c>
      <c r="L160" s="207">
        <v>15.868581229</v>
      </c>
      <c r="M160" s="207">
        <v>15.938015446</v>
      </c>
    </row>
    <row r="161" spans="1:13" ht="15.75" x14ac:dyDescent="0.25">
      <c r="A161" s="162" t="s">
        <v>135</v>
      </c>
      <c r="B161" s="163">
        <v>18.169813026</v>
      </c>
      <c r="C161" s="164">
        <v>18.574809308999999</v>
      </c>
      <c r="E161" s="182">
        <v>130.0550101</v>
      </c>
      <c r="F161" s="173">
        <v>26.683394570000001</v>
      </c>
      <c r="H161" s="184">
        <v>129.66751429999999</v>
      </c>
      <c r="I161" s="179">
        <v>26.825589040000001</v>
      </c>
      <c r="K161" s="216" t="s">
        <v>135</v>
      </c>
      <c r="L161" s="215">
        <v>15.898875618</v>
      </c>
      <c r="M161" s="215">
        <v>15.976407870999999</v>
      </c>
    </row>
    <row r="162" spans="1:13" ht="15.75" x14ac:dyDescent="0.25">
      <c r="A162" s="166" t="s">
        <v>136</v>
      </c>
      <c r="B162" s="167">
        <v>18.225251187000001</v>
      </c>
      <c r="C162" s="168">
        <v>18.640907396999999</v>
      </c>
      <c r="E162" s="181">
        <v>130.52856689999999</v>
      </c>
      <c r="F162" s="174">
        <v>26.922734940000002</v>
      </c>
      <c r="H162" s="183">
        <v>130.1148354</v>
      </c>
      <c r="I162" s="180">
        <v>27.101929500000001</v>
      </c>
      <c r="K162" s="208" t="s">
        <v>136</v>
      </c>
      <c r="L162" s="207">
        <v>15.929917651</v>
      </c>
      <c r="M162" s="207">
        <v>16.015464833999999</v>
      </c>
    </row>
    <row r="163" spans="1:13" ht="15.75" x14ac:dyDescent="0.25">
      <c r="A163" s="162" t="s">
        <v>137</v>
      </c>
      <c r="B163" s="163">
        <v>18.281410552000001</v>
      </c>
      <c r="C163" s="164">
        <v>18.707624079999999</v>
      </c>
      <c r="E163" s="182">
        <v>130.9982857</v>
      </c>
      <c r="F163" s="173">
        <v>27.164891990000001</v>
      </c>
      <c r="H163" s="184">
        <v>130.55738389999999</v>
      </c>
      <c r="I163" s="179">
        <v>27.382034220000001</v>
      </c>
      <c r="K163" s="216" t="s">
        <v>137</v>
      </c>
      <c r="L163" s="215">
        <v>15.961694805</v>
      </c>
      <c r="M163" s="215">
        <v>16.055169844000002</v>
      </c>
    </row>
    <row r="164" spans="1:13" ht="15.75" x14ac:dyDescent="0.25">
      <c r="A164" s="166" t="s">
        <v>138</v>
      </c>
      <c r="B164" s="167">
        <v>18.338267738999999</v>
      </c>
      <c r="C164" s="168">
        <v>18.774932139000001</v>
      </c>
      <c r="E164" s="181">
        <v>131.46412179999999</v>
      </c>
      <c r="F164" s="174">
        <v>27.409945390000001</v>
      </c>
      <c r="H164" s="183">
        <v>130.99543199999999</v>
      </c>
      <c r="I164" s="180">
        <v>27.665934020000002</v>
      </c>
      <c r="K164" s="208" t="s">
        <v>138</v>
      </c>
      <c r="L164" s="207">
        <v>15.994194894</v>
      </c>
      <c r="M164" s="207">
        <v>16.095506879999999</v>
      </c>
    </row>
    <row r="165" spans="1:13" ht="15.75" x14ac:dyDescent="0.25">
      <c r="A165" s="162" t="s">
        <v>139</v>
      </c>
      <c r="B165" s="163">
        <v>18.395799994000001</v>
      </c>
      <c r="C165" s="164">
        <v>18.842802758000001</v>
      </c>
      <c r="E165" s="182">
        <v>131.9260439</v>
      </c>
      <c r="F165" s="173">
        <v>27.657969779999998</v>
      </c>
      <c r="H165" s="184">
        <v>131.4292887</v>
      </c>
      <c r="I165" s="179">
        <v>27.953652399999999</v>
      </c>
      <c r="K165" s="216" t="s">
        <v>139</v>
      </c>
      <c r="L165" s="215">
        <v>16.027406071000001</v>
      </c>
      <c r="M165" s="215">
        <v>16.136458809000001</v>
      </c>
    </row>
    <row r="166" spans="1:13" ht="15.75" x14ac:dyDescent="0.25">
      <c r="A166" s="166" t="s">
        <v>140</v>
      </c>
      <c r="B166" s="167">
        <v>18.453983546</v>
      </c>
      <c r="C166" s="168">
        <v>18.911208974000001</v>
      </c>
      <c r="E166" s="181">
        <v>132.38403479999999</v>
      </c>
      <c r="F166" s="174">
        <v>27.90904433</v>
      </c>
      <c r="H166" s="183">
        <v>131.85930149999999</v>
      </c>
      <c r="I166" s="180">
        <v>28.245205309999999</v>
      </c>
      <c r="K166" s="208" t="s">
        <v>140</v>
      </c>
      <c r="L166" s="207">
        <v>16.061315897</v>
      </c>
      <c r="M166" s="207">
        <v>16.178009550999999</v>
      </c>
    </row>
    <row r="167" spans="1:13" ht="15.75" x14ac:dyDescent="0.25">
      <c r="A167" s="162" t="s">
        <v>141</v>
      </c>
      <c r="B167" s="163">
        <v>18.512796471000001</v>
      </c>
      <c r="C167" s="164">
        <v>18.980123661</v>
      </c>
      <c r="E167" s="182">
        <v>132.83809199999999</v>
      </c>
      <c r="F167" s="173">
        <v>28.16324264</v>
      </c>
      <c r="H167" s="184">
        <v>132.2858574</v>
      </c>
      <c r="I167" s="179">
        <v>28.540600850000001</v>
      </c>
      <c r="K167" s="216" t="s">
        <v>141</v>
      </c>
      <c r="L167" s="215">
        <v>16.095912922</v>
      </c>
      <c r="M167" s="215">
        <v>16.220142812999999</v>
      </c>
    </row>
    <row r="168" spans="1:13" ht="15.75" x14ac:dyDescent="0.25">
      <c r="A168" s="166" t="s">
        <v>142</v>
      </c>
      <c r="B168" s="167">
        <v>18.572216211000001</v>
      </c>
      <c r="C168" s="168">
        <v>19.049520628</v>
      </c>
      <c r="E168" s="181">
        <v>133.2882291</v>
      </c>
      <c r="F168" s="174">
        <v>28.42063744</v>
      </c>
      <c r="H168" s="183">
        <v>132.7093845</v>
      </c>
      <c r="I168" s="180">
        <v>28.83983907</v>
      </c>
      <c r="K168" s="208" t="s">
        <v>142</v>
      </c>
      <c r="L168" s="207">
        <v>16.131185315</v>
      </c>
      <c r="M168" s="207">
        <v>16.262842770999999</v>
      </c>
    </row>
    <row r="169" spans="1:13" ht="15.75" x14ac:dyDescent="0.25">
      <c r="A169" s="162" t="s">
        <v>143</v>
      </c>
      <c r="B169" s="163">
        <v>18.632222229</v>
      </c>
      <c r="C169" s="164">
        <v>19.119373163999999</v>
      </c>
      <c r="E169" s="182">
        <v>133.73447590000001</v>
      </c>
      <c r="F169" s="173">
        <v>28.681300050000001</v>
      </c>
      <c r="H169" s="184">
        <v>133.1303527</v>
      </c>
      <c r="I169" s="179">
        <v>29.14291171</v>
      </c>
      <c r="K169" s="216" t="s">
        <v>143</v>
      </c>
      <c r="L169" s="215">
        <v>16.167122343999999</v>
      </c>
      <c r="M169" s="215">
        <v>16.306093162</v>
      </c>
    </row>
    <row r="170" spans="1:13" ht="15.75" x14ac:dyDescent="0.25">
      <c r="A170" s="166" t="s">
        <v>144</v>
      </c>
      <c r="B170" s="167">
        <v>18.692791276000001</v>
      </c>
      <c r="C170" s="168">
        <v>19.189654527999998</v>
      </c>
      <c r="E170" s="181">
        <v>134.17688010000001</v>
      </c>
      <c r="F170" s="174">
        <v>28.945300289999999</v>
      </c>
      <c r="H170" s="183">
        <v>133.5492749</v>
      </c>
      <c r="I170" s="180">
        <v>29.449802080000001</v>
      </c>
      <c r="K170" s="208" t="s">
        <v>144</v>
      </c>
      <c r="L170" s="207">
        <v>16.203711677000001</v>
      </c>
      <c r="M170" s="207">
        <v>16.349877586000002</v>
      </c>
    </row>
    <row r="171" spans="1:13" ht="15.75" x14ac:dyDescent="0.25">
      <c r="A171" s="162" t="s">
        <v>145</v>
      </c>
      <c r="B171" s="163">
        <v>18.753902661000001</v>
      </c>
      <c r="C171" s="164">
        <v>19.260340621000001</v>
      </c>
      <c r="E171" s="182">
        <v>134.6155076</v>
      </c>
      <c r="F171" s="173">
        <v>29.212706449999999</v>
      </c>
      <c r="H171" s="184">
        <v>133.9667073</v>
      </c>
      <c r="I171" s="179">
        <v>29.76048479</v>
      </c>
      <c r="K171" s="216" t="s">
        <v>145</v>
      </c>
      <c r="L171" s="215">
        <v>16.240942388000001</v>
      </c>
      <c r="M171" s="215">
        <v>16.39418118</v>
      </c>
    </row>
    <row r="172" spans="1:13" ht="15.75" x14ac:dyDescent="0.25">
      <c r="A172" s="166" t="s">
        <v>146</v>
      </c>
      <c r="B172" s="167">
        <v>18.815535648000001</v>
      </c>
      <c r="C172" s="168">
        <v>19.331404869</v>
      </c>
      <c r="E172" s="181">
        <v>135.05044330000001</v>
      </c>
      <c r="F172" s="174">
        <v>29.483585269999999</v>
      </c>
      <c r="H172" s="183">
        <v>134.38324990000001</v>
      </c>
      <c r="I172" s="180">
        <v>30.074925700000001</v>
      </c>
      <c r="K172" s="208" t="s">
        <v>146</v>
      </c>
      <c r="L172" s="207">
        <v>16.278803457999999</v>
      </c>
      <c r="M172" s="207">
        <v>16.438987413</v>
      </c>
    </row>
    <row r="173" spans="1:13" ht="15.75" x14ac:dyDescent="0.25">
      <c r="A173" s="162" t="s">
        <v>147</v>
      </c>
      <c r="B173" s="163">
        <v>18.877669576999999</v>
      </c>
      <c r="C173" s="164">
        <v>19.402822598</v>
      </c>
      <c r="E173" s="182">
        <v>135.48179250000001</v>
      </c>
      <c r="F173" s="173">
        <v>29.75800198</v>
      </c>
      <c r="H173" s="184">
        <v>134.7995463</v>
      </c>
      <c r="I173" s="179">
        <v>30.393081760000001</v>
      </c>
      <c r="K173" s="216" t="s">
        <v>147</v>
      </c>
      <c r="L173" s="215">
        <v>16.317283846999999</v>
      </c>
      <c r="M173" s="215">
        <v>16.484280822999999</v>
      </c>
    </row>
    <row r="174" spans="1:13" ht="15.75" x14ac:dyDescent="0.25">
      <c r="A174" s="166" t="s">
        <v>148</v>
      </c>
      <c r="B174" s="167">
        <v>18.940284187</v>
      </c>
      <c r="C174" s="168">
        <v>19.474568693999998</v>
      </c>
      <c r="E174" s="181">
        <v>135.90968129999999</v>
      </c>
      <c r="F174" s="174">
        <v>30.03602021</v>
      </c>
      <c r="H174" s="183">
        <v>135.2162826</v>
      </c>
      <c r="I174" s="180">
        <v>30.714900929999999</v>
      </c>
      <c r="K174" s="208" t="s">
        <v>148</v>
      </c>
      <c r="L174" s="207">
        <v>16.356372671999999</v>
      </c>
      <c r="M174" s="207">
        <v>16.530045538</v>
      </c>
    </row>
    <row r="175" spans="1:13" ht="15.75" x14ac:dyDescent="0.25">
      <c r="A175" s="162" t="s">
        <v>149</v>
      </c>
      <c r="B175" s="163">
        <v>19.003359542999998</v>
      </c>
      <c r="C175" s="164">
        <v>19.546620507</v>
      </c>
      <c r="E175" s="182">
        <v>136.33425769999999</v>
      </c>
      <c r="F175" s="173">
        <v>30.317704169999999</v>
      </c>
      <c r="H175" s="184">
        <v>135.634186</v>
      </c>
      <c r="I175" s="179">
        <v>31.040322100000001</v>
      </c>
      <c r="K175" s="216" t="s">
        <v>149</v>
      </c>
      <c r="L175" s="215">
        <v>16.396059161</v>
      </c>
      <c r="M175" s="215">
        <v>16.576267130000002</v>
      </c>
    </row>
    <row r="176" spans="1:13" ht="15.75" x14ac:dyDescent="0.25">
      <c r="A176" s="166" t="s">
        <v>150</v>
      </c>
      <c r="B176" s="167">
        <v>19.066876031</v>
      </c>
      <c r="C176" s="168">
        <v>19.618951499000001</v>
      </c>
      <c r="E176" s="181">
        <v>136.75569229999999</v>
      </c>
      <c r="F176" s="174">
        <v>30.603111070000001</v>
      </c>
      <c r="H176" s="183">
        <v>136.05402230000001</v>
      </c>
      <c r="I176" s="180">
        <v>31.36927506</v>
      </c>
      <c r="K176" s="208" t="s">
        <v>150</v>
      </c>
      <c r="L176" s="207">
        <v>16.436332645</v>
      </c>
      <c r="M176" s="207">
        <v>16.622928640000001</v>
      </c>
    </row>
    <row r="177" spans="1:13" ht="15.75" x14ac:dyDescent="0.25">
      <c r="A177" s="162" t="s">
        <v>151</v>
      </c>
      <c r="B177" s="163">
        <v>19.130814355999998</v>
      </c>
      <c r="C177" s="164">
        <v>19.691539648999999</v>
      </c>
      <c r="E177" s="182">
        <v>137.17417940000001</v>
      </c>
      <c r="F177" s="173">
        <v>30.892300720000001</v>
      </c>
      <c r="H177" s="184">
        <v>136.47659250000001</v>
      </c>
      <c r="I177" s="179">
        <v>31.701680499999998</v>
      </c>
      <c r="K177" s="216" t="s">
        <v>151</v>
      </c>
      <c r="L177" s="215">
        <v>16.477182555999999</v>
      </c>
      <c r="M177" s="215">
        <v>16.670015716000002</v>
      </c>
    </row>
    <row r="178" spans="1:13" ht="15.75" x14ac:dyDescent="0.25">
      <c r="A178" s="166" t="s">
        <v>152</v>
      </c>
      <c r="B178" s="167">
        <v>19.195155543999999</v>
      </c>
      <c r="C178" s="168">
        <v>19.764361199</v>
      </c>
      <c r="E178" s="181">
        <v>137.5899378</v>
      </c>
      <c r="F178" s="174">
        <v>31.185329840000001</v>
      </c>
      <c r="H178" s="183">
        <v>136.90272809999999</v>
      </c>
      <c r="I178" s="180">
        <v>32.037449989999999</v>
      </c>
      <c r="K178" s="208" t="s">
        <v>152</v>
      </c>
      <c r="L178" s="207">
        <v>16.518598425</v>
      </c>
      <c r="M178" s="207">
        <v>16.717512877000001</v>
      </c>
    </row>
    <row r="179" spans="1:13" ht="15.75" x14ac:dyDescent="0.25">
      <c r="A179" s="162" t="s">
        <v>153</v>
      </c>
      <c r="B179" s="163">
        <v>19.259880938999999</v>
      </c>
      <c r="C179" s="164">
        <v>19.837393134999999</v>
      </c>
      <c r="E179" s="182">
        <v>138.0032114</v>
      </c>
      <c r="F179" s="173">
        <v>31.482253149999998</v>
      </c>
      <c r="H179" s="184">
        <v>137.33328460000001</v>
      </c>
      <c r="I179" s="179">
        <v>32.376486069999999</v>
      </c>
      <c r="K179" s="216" t="s">
        <v>153</v>
      </c>
      <c r="L179" s="215">
        <v>16.560569872999999</v>
      </c>
      <c r="M179" s="215">
        <v>16.765404961000002</v>
      </c>
    </row>
    <row r="180" spans="1:13" ht="15.75" x14ac:dyDescent="0.25">
      <c r="A180" s="166" t="s">
        <v>154</v>
      </c>
      <c r="B180" s="167">
        <v>19.324972199000001</v>
      </c>
      <c r="C180" s="168">
        <v>19.910612780000001</v>
      </c>
      <c r="E180" s="181">
        <v>138.4142703</v>
      </c>
      <c r="F180" s="174">
        <v>31.783123289999999</v>
      </c>
      <c r="H180" s="183">
        <v>137.76913390000001</v>
      </c>
      <c r="I180" s="180">
        <v>32.718682250000001</v>
      </c>
      <c r="K180" s="208" t="s">
        <v>154</v>
      </c>
      <c r="L180" s="207">
        <v>16.603086611999998</v>
      </c>
      <c r="M180" s="207">
        <v>16.813676886</v>
      </c>
    </row>
    <row r="181" spans="1:13" ht="15.75" x14ac:dyDescent="0.25">
      <c r="A181" s="162" t="s">
        <v>155</v>
      </c>
      <c r="B181" s="163">
        <v>19.390411298</v>
      </c>
      <c r="C181" s="164">
        <v>19.983997788</v>
      </c>
      <c r="E181" s="182">
        <v>138.8234114</v>
      </c>
      <c r="F181" s="173">
        <v>32.087990619999999</v>
      </c>
      <c r="H181" s="184">
        <v>138.21115520000001</v>
      </c>
      <c r="I181" s="179">
        <v>33.063923180000003</v>
      </c>
      <c r="K181" s="216" t="s">
        <v>155</v>
      </c>
      <c r="L181" s="215">
        <v>16.646138439000001</v>
      </c>
      <c r="M181" s="215">
        <v>16.862313656000001</v>
      </c>
    </row>
    <row r="182" spans="1:13" ht="15.75" x14ac:dyDescent="0.25">
      <c r="A182" s="166" t="s">
        <v>156</v>
      </c>
      <c r="B182" s="167">
        <v>19.456180422999999</v>
      </c>
      <c r="C182" s="168">
        <v>20.057526150000001</v>
      </c>
      <c r="E182" s="181">
        <v>139.2309592</v>
      </c>
      <c r="F182" s="174">
        <v>32.396903129999998</v>
      </c>
      <c r="H182" s="183">
        <v>138.66022280000001</v>
      </c>
      <c r="I182" s="180">
        <v>33.412084700000001</v>
      </c>
      <c r="K182" s="208" t="s">
        <v>156</v>
      </c>
      <c r="L182" s="207">
        <v>16.689715178</v>
      </c>
      <c r="M182" s="207">
        <v>16.911300356999998</v>
      </c>
    </row>
    <row r="183" spans="1:13" ht="15.75" x14ac:dyDescent="0.25">
      <c r="A183" s="162" t="s">
        <v>157</v>
      </c>
      <c r="B183" s="163">
        <v>19.522262472000001</v>
      </c>
      <c r="C183" s="164">
        <v>20.131176192000002</v>
      </c>
      <c r="E183" s="182">
        <v>139.63726629999999</v>
      </c>
      <c r="F183" s="173">
        <v>32.709906199999999</v>
      </c>
      <c r="H183" s="184">
        <v>139.1171933</v>
      </c>
      <c r="I183" s="179">
        <v>33.763034019999999</v>
      </c>
      <c r="K183" s="216" t="s">
        <v>157</v>
      </c>
      <c r="L183" s="215">
        <v>16.733806952999998</v>
      </c>
      <c r="M183" s="215">
        <v>16.960622155999999</v>
      </c>
    </row>
    <row r="184" spans="1:13" ht="15.75" x14ac:dyDescent="0.25">
      <c r="A184" s="166" t="s">
        <v>158</v>
      </c>
      <c r="B184" s="167">
        <v>19.588640055999999</v>
      </c>
      <c r="C184" s="168">
        <v>20.204926574000002</v>
      </c>
      <c r="E184" s="181">
        <v>140.04271399999999</v>
      </c>
      <c r="F184" s="174">
        <v>33.027042440000002</v>
      </c>
      <c r="H184" s="183">
        <v>139.5828898</v>
      </c>
      <c r="I184" s="180">
        <v>34.1166299</v>
      </c>
      <c r="K184" s="208" t="s">
        <v>158</v>
      </c>
      <c r="L184" s="207">
        <v>16.778403632</v>
      </c>
      <c r="M184" s="207">
        <v>17.010264304</v>
      </c>
    </row>
    <row r="185" spans="1:13" ht="15.75" x14ac:dyDescent="0.25">
      <c r="A185" s="162" t="s">
        <v>159</v>
      </c>
      <c r="B185" s="163">
        <v>19.655296491000001</v>
      </c>
      <c r="C185" s="164">
        <v>20.278756292000001</v>
      </c>
      <c r="E185" s="182">
        <v>140.44771270000001</v>
      </c>
      <c r="F185" s="173">
        <v>33.348351479999998</v>
      </c>
      <c r="H185" s="184">
        <v>140.05808479999999</v>
      </c>
      <c r="I185" s="179">
        <v>34.472722830000002</v>
      </c>
      <c r="K185" s="216" t="s">
        <v>159</v>
      </c>
      <c r="L185" s="215">
        <v>16.823495380000001</v>
      </c>
      <c r="M185" s="215">
        <v>17.060212133</v>
      </c>
    </row>
    <row r="186" spans="1:13" ht="15.75" x14ac:dyDescent="0.25">
      <c r="A186" s="166" t="s">
        <v>160</v>
      </c>
      <c r="B186" s="167">
        <v>19.722215305999999</v>
      </c>
      <c r="C186" s="168">
        <v>20.352644676000001</v>
      </c>
      <c r="E186" s="181">
        <v>140.85270220000001</v>
      </c>
      <c r="F186" s="174">
        <v>33.67386973</v>
      </c>
      <c r="H186" s="183">
        <v>140.54347870000001</v>
      </c>
      <c r="I186" s="180">
        <v>34.831155240000001</v>
      </c>
      <c r="K186" s="208" t="s">
        <v>160</v>
      </c>
      <c r="L186" s="207">
        <v>16.869072374999998</v>
      </c>
      <c r="M186" s="207">
        <v>17.110451054999999</v>
      </c>
    </row>
    <row r="187" spans="1:13" ht="15.75" x14ac:dyDescent="0.25">
      <c r="A187" s="162" t="s">
        <v>161</v>
      </c>
      <c r="B187" s="163">
        <v>19.789380335000001</v>
      </c>
      <c r="C187" s="164">
        <v>20.426571391</v>
      </c>
      <c r="E187" s="182">
        <v>141.2581515</v>
      </c>
      <c r="F187" s="173">
        <v>34.003630170000001</v>
      </c>
      <c r="H187" s="184">
        <v>141.03968320000001</v>
      </c>
      <c r="I187" s="179">
        <v>35.191761769999999</v>
      </c>
      <c r="K187" s="216" t="s">
        <v>161</v>
      </c>
      <c r="L187" s="215">
        <v>16.915124865999999</v>
      </c>
      <c r="M187" s="215">
        <v>17.160966563999999</v>
      </c>
    </row>
    <row r="188" spans="1:13" ht="15.75" x14ac:dyDescent="0.25">
      <c r="A188" s="166" t="s">
        <v>162</v>
      </c>
      <c r="B188" s="167">
        <v>19.856775720000002</v>
      </c>
      <c r="C188" s="168">
        <v>20.500516438999998</v>
      </c>
      <c r="E188" s="181">
        <v>141.66455920000001</v>
      </c>
      <c r="F188" s="174">
        <v>34.33766207</v>
      </c>
      <c r="H188" s="183">
        <v>141.54719449999999</v>
      </c>
      <c r="I188" s="180">
        <v>35.554371760000002</v>
      </c>
      <c r="K188" s="208" t="s">
        <v>162</v>
      </c>
      <c r="L188" s="207">
        <v>16.961643167999998</v>
      </c>
      <c r="M188" s="207">
        <v>17.211744236000001</v>
      </c>
    </row>
    <row r="189" spans="1:13" ht="15.75" x14ac:dyDescent="0.25">
      <c r="A189" s="162" t="s">
        <v>163</v>
      </c>
      <c r="B189" s="163">
        <v>19.924385908000001</v>
      </c>
      <c r="C189" s="164">
        <v>20.574460154000001</v>
      </c>
      <c r="E189" s="182">
        <v>142.072452</v>
      </c>
      <c r="F189" s="173">
        <v>34.675990759999998</v>
      </c>
      <c r="H189" s="184">
        <v>142.06637309999999</v>
      </c>
      <c r="I189" s="179">
        <v>35.918799759999999</v>
      </c>
      <c r="K189" s="216" t="s">
        <v>163</v>
      </c>
      <c r="L189" s="215">
        <v>17.008617659999999</v>
      </c>
      <c r="M189" s="215">
        <v>17.262769727999999</v>
      </c>
    </row>
    <row r="190" spans="1:13" ht="15.75" x14ac:dyDescent="0.25">
      <c r="A190" s="166" t="s">
        <v>164</v>
      </c>
      <c r="B190" s="167">
        <v>19.992195654</v>
      </c>
      <c r="C190" s="168">
        <v>20.648383207999998</v>
      </c>
      <c r="E190" s="181">
        <v>142.48238520000001</v>
      </c>
      <c r="F190" s="174">
        <v>35.018637320000003</v>
      </c>
      <c r="H190" s="183">
        <v>142.59742</v>
      </c>
      <c r="I190" s="180">
        <v>36.284861939999999</v>
      </c>
      <c r="K190" s="208" t="s">
        <v>164</v>
      </c>
      <c r="L190" s="207">
        <v>17.056038786999999</v>
      </c>
      <c r="M190" s="207">
        <v>17.314028776000001</v>
      </c>
    </row>
    <row r="191" spans="1:13" ht="15.75" x14ac:dyDescent="0.25">
      <c r="A191" s="162" t="s">
        <v>165</v>
      </c>
      <c r="B191" s="163">
        <v>20.060190019</v>
      </c>
      <c r="C191" s="164">
        <v>20.722266606000002</v>
      </c>
      <c r="E191" s="182">
        <v>142.8949403</v>
      </c>
      <c r="F191" s="173">
        <v>35.365617370000002</v>
      </c>
      <c r="H191" s="184">
        <v>143.14035530000001</v>
      </c>
      <c r="I191" s="179">
        <v>36.652363649999998</v>
      </c>
      <c r="K191" s="216" t="s">
        <v>165</v>
      </c>
      <c r="L191" s="215">
        <v>17.103897052000001</v>
      </c>
      <c r="M191" s="215">
        <v>17.365507199</v>
      </c>
    </row>
    <row r="192" spans="1:13" ht="15.75" x14ac:dyDescent="0.25">
      <c r="A192" s="166" t="s">
        <v>166</v>
      </c>
      <c r="B192" s="167">
        <v>20.128354368</v>
      </c>
      <c r="C192" s="168">
        <v>20.796091690000001</v>
      </c>
      <c r="E192" s="181">
        <v>143.31072409999999</v>
      </c>
      <c r="F192" s="174">
        <v>35.716947230000002</v>
      </c>
      <c r="H192" s="183">
        <v>143.69499809999999</v>
      </c>
      <c r="I192" s="180">
        <v>37.021108179999999</v>
      </c>
      <c r="K192" s="208" t="s">
        <v>166</v>
      </c>
      <c r="L192" s="207">
        <v>17.152183021999999</v>
      </c>
      <c r="M192" s="207">
        <v>17.417190895000001</v>
      </c>
    </row>
    <row r="193" spans="1:13" ht="15.75" x14ac:dyDescent="0.25">
      <c r="A193" s="162" t="s">
        <v>167</v>
      </c>
      <c r="B193" s="163">
        <v>20.196674371</v>
      </c>
      <c r="C193" s="164">
        <v>20.869840136000001</v>
      </c>
      <c r="E193" s="182">
        <v>143.73036629999999</v>
      </c>
      <c r="F193" s="173">
        <v>36.072625690000002</v>
      </c>
      <c r="H193" s="184">
        <v>144.2609497</v>
      </c>
      <c r="I193" s="179">
        <v>37.390886680000001</v>
      </c>
      <c r="K193" s="216" t="s">
        <v>167</v>
      </c>
      <c r="L193" s="215">
        <v>17.200887317999999</v>
      </c>
      <c r="M193" s="215">
        <v>17.469065844999999</v>
      </c>
    </row>
    <row r="194" spans="1:13" ht="15.75" x14ac:dyDescent="0.25">
      <c r="A194" s="166" t="s">
        <v>168</v>
      </c>
      <c r="B194" s="167">
        <v>20.265136001999998</v>
      </c>
      <c r="C194" s="168">
        <v>20.943493956000001</v>
      </c>
      <c r="E194" s="181">
        <v>144.15451669999999</v>
      </c>
      <c r="F194" s="174">
        <v>36.432659960000002</v>
      </c>
      <c r="H194" s="183">
        <v>144.83758090000001</v>
      </c>
      <c r="I194" s="180">
        <v>37.761489050000002</v>
      </c>
      <c r="K194" s="208" t="s">
        <v>168</v>
      </c>
      <c r="L194" s="207">
        <v>17.250000622999998</v>
      </c>
      <c r="M194" s="207">
        <v>17.52111811</v>
      </c>
    </row>
    <row r="195" spans="1:13" ht="15.75" x14ac:dyDescent="0.25">
      <c r="A195" s="162" t="s">
        <v>169</v>
      </c>
      <c r="B195" s="163">
        <v>20.333725539</v>
      </c>
      <c r="C195" s="164">
        <v>21.017034888000001</v>
      </c>
      <c r="E195" s="182">
        <v>144.58384140000001</v>
      </c>
      <c r="F195" s="173">
        <v>36.79704392</v>
      </c>
      <c r="H195" s="184">
        <v>145.4240246</v>
      </c>
      <c r="I195" s="179">
        <v>38.132699100000004</v>
      </c>
      <c r="K195" s="216" t="s">
        <v>169</v>
      </c>
      <c r="L195" s="215">
        <v>17.299513673</v>
      </c>
      <c r="M195" s="215">
        <v>17.573333469000001</v>
      </c>
    </row>
    <row r="196" spans="1:13" ht="15.75" x14ac:dyDescent="0.25">
      <c r="A196" s="166" t="s">
        <v>170</v>
      </c>
      <c r="B196" s="167">
        <v>20.402429561999998</v>
      </c>
      <c r="C196" s="168">
        <v>21.090446529000001</v>
      </c>
      <c r="E196" s="181">
        <v>145.0190192</v>
      </c>
      <c r="F196" s="174">
        <v>37.165767099999997</v>
      </c>
      <c r="H196" s="183">
        <v>146.0191748</v>
      </c>
      <c r="I196" s="180">
        <v>38.504296029999999</v>
      </c>
      <c r="K196" s="208" t="s">
        <v>170</v>
      </c>
      <c r="L196" s="207">
        <v>17.349417257999999</v>
      </c>
      <c r="M196" s="207">
        <v>17.625698688</v>
      </c>
    </row>
    <row r="197" spans="1:13" ht="15.75" x14ac:dyDescent="0.25">
      <c r="A197" s="162" t="s">
        <v>171</v>
      </c>
      <c r="B197" s="163">
        <v>20.471236496</v>
      </c>
      <c r="C197" s="164">
        <v>21.163711547999998</v>
      </c>
      <c r="E197" s="182">
        <v>145.4607359</v>
      </c>
      <c r="F197" s="173">
        <v>37.538812679999999</v>
      </c>
      <c r="H197" s="184">
        <v>146.621692</v>
      </c>
      <c r="I197" s="179">
        <v>38.876054889999999</v>
      </c>
      <c r="K197" s="216" t="s">
        <v>171</v>
      </c>
      <c r="L197" s="215">
        <v>17.399703080999998</v>
      </c>
      <c r="M197" s="215">
        <v>17.678199868</v>
      </c>
    </row>
    <row r="198" spans="1:13" ht="15.75" x14ac:dyDescent="0.25">
      <c r="A198" s="166" t="s">
        <v>172</v>
      </c>
      <c r="B198" s="167">
        <v>20.540131144</v>
      </c>
      <c r="C198" s="168">
        <v>21.236813300000001</v>
      </c>
      <c r="E198" s="181">
        <v>145.90967839999999</v>
      </c>
      <c r="F198" s="174">
        <v>37.916157210000001</v>
      </c>
      <c r="H198" s="183">
        <v>147.23001769999999</v>
      </c>
      <c r="I198" s="180">
        <v>39.247747070000003</v>
      </c>
      <c r="K198" s="208" t="s">
        <v>172</v>
      </c>
      <c r="L198" s="207">
        <v>17.450360714999999</v>
      </c>
      <c r="M198" s="207">
        <v>17.730823397000002</v>
      </c>
    </row>
    <row r="199" spans="1:13" ht="15.75" x14ac:dyDescent="0.25">
      <c r="A199" s="162" t="s">
        <v>173</v>
      </c>
      <c r="B199" s="163">
        <v>20.609101892000002</v>
      </c>
      <c r="C199" s="164">
        <v>21.309735477</v>
      </c>
      <c r="E199" s="182">
        <v>146.3665278</v>
      </c>
      <c r="F199" s="173">
        <v>38.297770300000003</v>
      </c>
      <c r="H199" s="184">
        <v>147.8423918</v>
      </c>
      <c r="I199" s="179">
        <v>39.619140760000001</v>
      </c>
      <c r="K199" s="216" t="s">
        <v>173</v>
      </c>
      <c r="L199" s="215">
        <v>17.501381605999999</v>
      </c>
      <c r="M199" s="215">
        <v>17.783555746000001</v>
      </c>
    </row>
    <row r="200" spans="1:13" ht="15.75" x14ac:dyDescent="0.25">
      <c r="A200" s="166" t="s">
        <v>174</v>
      </c>
      <c r="B200" s="167">
        <v>20.678136503000001</v>
      </c>
      <c r="C200" s="168">
        <v>21.382462109999999</v>
      </c>
      <c r="E200" s="181">
        <v>146.83195129999999</v>
      </c>
      <c r="F200" s="174">
        <v>38.683614300000002</v>
      </c>
      <c r="H200" s="183">
        <v>148.4568879</v>
      </c>
      <c r="I200" s="180">
        <v>39.989999939999997</v>
      </c>
      <c r="K200" s="208" t="s">
        <v>174</v>
      </c>
      <c r="L200" s="207">
        <v>17.552756738999999</v>
      </c>
      <c r="M200" s="207">
        <v>17.836383471000001</v>
      </c>
    </row>
    <row r="201" spans="1:13" ht="15.75" x14ac:dyDescent="0.25">
      <c r="A201" s="162" t="s">
        <v>175</v>
      </c>
      <c r="B201" s="163">
        <v>20.747223033000001</v>
      </c>
      <c r="C201" s="164">
        <v>21.454977564</v>
      </c>
      <c r="E201" s="182">
        <v>147.3065929</v>
      </c>
      <c r="F201" s="173">
        <v>39.073644010000002</v>
      </c>
      <c r="H201" s="184">
        <v>149.0714413</v>
      </c>
      <c r="I201" s="179">
        <v>40.360092440000003</v>
      </c>
      <c r="K201" s="216" t="s">
        <v>175</v>
      </c>
      <c r="L201" s="215">
        <v>17.604477144000001</v>
      </c>
      <c r="M201" s="215">
        <v>17.889293209000002</v>
      </c>
    </row>
    <row r="202" spans="1:13" ht="15.75" x14ac:dyDescent="0.25">
      <c r="A202" s="166" t="s">
        <v>176</v>
      </c>
      <c r="B202" s="167">
        <v>20.816349832</v>
      </c>
      <c r="C202" s="168">
        <v>21.527266545</v>
      </c>
      <c r="E202" s="181">
        <v>147.79106350000001</v>
      </c>
      <c r="F202" s="174">
        <v>39.467806430000003</v>
      </c>
      <c r="H202" s="183">
        <v>149.68389429999999</v>
      </c>
      <c r="I202" s="180">
        <v>40.729175439999999</v>
      </c>
      <c r="K202" s="208" t="s">
        <v>176</v>
      </c>
      <c r="L202" s="207">
        <v>17.656533894999999</v>
      </c>
      <c r="M202" s="207">
        <v>17.942271684000001</v>
      </c>
    </row>
    <row r="203" spans="1:13" ht="15.75" x14ac:dyDescent="0.25">
      <c r="A203" s="162" t="s">
        <v>177</v>
      </c>
      <c r="B203" s="163">
        <v>20.885505539</v>
      </c>
      <c r="C203" s="164">
        <v>21.599314096000001</v>
      </c>
      <c r="E203" s="182">
        <v>148.28592939999999</v>
      </c>
      <c r="F203" s="173">
        <v>39.866040439999999</v>
      </c>
      <c r="H203" s="184">
        <v>150.29203279999999</v>
      </c>
      <c r="I203" s="179">
        <v>41.097010990000001</v>
      </c>
      <c r="K203" s="216" t="s">
        <v>177</v>
      </c>
      <c r="L203" s="215">
        <v>17.708918106999999</v>
      </c>
      <c r="M203" s="215">
        <v>17.995305704</v>
      </c>
    </row>
    <row r="204" spans="1:13" ht="15.75" x14ac:dyDescent="0.25">
      <c r="A204" s="166" t="s">
        <v>178</v>
      </c>
      <c r="B204" s="167">
        <v>20.954679085999999</v>
      </c>
      <c r="C204" s="168">
        <v>21.671105598</v>
      </c>
      <c r="E204" s="181">
        <v>148.79170060000001</v>
      </c>
      <c r="F204" s="174">
        <v>40.268276520000001</v>
      </c>
      <c r="H204" s="183">
        <v>150.89364689999999</v>
      </c>
      <c r="I204" s="180">
        <v>41.463359070000003</v>
      </c>
      <c r="K204" s="208" t="s">
        <v>178</v>
      </c>
      <c r="L204" s="207">
        <v>17.761620938</v>
      </c>
      <c r="M204" s="207">
        <v>18.048382161999999</v>
      </c>
    </row>
    <row r="205" spans="1:13" ht="15.75" x14ac:dyDescent="0.25">
      <c r="A205" s="162" t="s">
        <v>179</v>
      </c>
      <c r="B205" s="163">
        <v>21.023859691999998</v>
      </c>
      <c r="C205" s="164">
        <v>21.742626772000001</v>
      </c>
      <c r="E205" s="182">
        <v>149.30881780000001</v>
      </c>
      <c r="F205" s="173">
        <v>40.674436579999998</v>
      </c>
      <c r="H205" s="184">
        <v>151.48656360000001</v>
      </c>
      <c r="I205" s="179">
        <v>41.827979630000002</v>
      </c>
      <c r="K205" s="216" t="s">
        <v>179</v>
      </c>
      <c r="L205" s="215">
        <v>17.814633585999999</v>
      </c>
      <c r="M205" s="215">
        <v>18.101488035999999</v>
      </c>
    </row>
    <row r="206" spans="1:13" ht="15.75" x14ac:dyDescent="0.25">
      <c r="A206" s="166" t="s">
        <v>180</v>
      </c>
      <c r="B206" s="167">
        <v>21.093036864999998</v>
      </c>
      <c r="C206" s="168">
        <v>21.813863676</v>
      </c>
      <c r="E206" s="181">
        <v>149.83763909999999</v>
      </c>
      <c r="F206" s="174">
        <v>41.084433629999999</v>
      </c>
      <c r="H206" s="183">
        <v>152.06869850000001</v>
      </c>
      <c r="I206" s="180">
        <v>42.190633130000002</v>
      </c>
      <c r="K206" s="208" t="s">
        <v>180</v>
      </c>
      <c r="L206" s="207">
        <v>17.867947289</v>
      </c>
      <c r="M206" s="207">
        <v>18.154610393999999</v>
      </c>
    </row>
    <row r="207" spans="1:13" ht="15.75" x14ac:dyDescent="0.25">
      <c r="A207" s="162" t="s">
        <v>181</v>
      </c>
      <c r="B207" s="163">
        <v>21.1622004</v>
      </c>
      <c r="C207" s="164">
        <v>21.884802707999999</v>
      </c>
      <c r="E207" s="182">
        <v>150.37842670000001</v>
      </c>
      <c r="F207" s="173">
        <v>41.498171640000002</v>
      </c>
      <c r="H207" s="184">
        <v>152.63809549999999</v>
      </c>
      <c r="I207" s="179">
        <v>42.551081070000002</v>
      </c>
      <c r="K207" s="216" t="s">
        <v>181</v>
      </c>
      <c r="L207" s="215">
        <v>17.921553320000001</v>
      </c>
      <c r="M207" s="215">
        <v>18.207736386000001</v>
      </c>
    </row>
    <row r="208" spans="1:13" ht="15.75" x14ac:dyDescent="0.25">
      <c r="A208" s="166" t="s">
        <v>182</v>
      </c>
      <c r="B208" s="167">
        <v>21.231340377999999</v>
      </c>
      <c r="C208" s="168">
        <v>21.955430607</v>
      </c>
      <c r="E208" s="181">
        <v>150.93133309999999</v>
      </c>
      <c r="F208" s="174">
        <v>41.915545280000003</v>
      </c>
      <c r="H208" s="183">
        <v>153.19296309999999</v>
      </c>
      <c r="I208" s="180">
        <v>42.909086530000003</v>
      </c>
      <c r="K208" s="208" t="s">
        <v>182</v>
      </c>
      <c r="L208" s="207">
        <v>17.975442992000001</v>
      </c>
      <c r="M208" s="207">
        <v>18.260853253000001</v>
      </c>
    </row>
    <row r="209" spans="1:13" ht="15.75" x14ac:dyDescent="0.25">
      <c r="A209" s="162" t="s">
        <v>183</v>
      </c>
      <c r="B209" s="163">
        <v>21.300447165000001</v>
      </c>
      <c r="C209" s="164">
        <v>22.025734450000002</v>
      </c>
      <c r="E209" s="182">
        <v>151.49638870000001</v>
      </c>
      <c r="F209" s="173">
        <v>42.336439779999999</v>
      </c>
      <c r="H209" s="184">
        <v>153.7317031</v>
      </c>
      <c r="I209" s="179">
        <v>43.264415499999998</v>
      </c>
      <c r="K209" s="216" t="s">
        <v>183</v>
      </c>
      <c r="L209" s="215">
        <v>18.029607652999999</v>
      </c>
      <c r="M209" s="215">
        <v>18.313948323999998</v>
      </c>
    </row>
    <row r="210" spans="1:13" ht="15.75" x14ac:dyDescent="0.25">
      <c r="A210" s="166" t="s">
        <v>184</v>
      </c>
      <c r="B210" s="167">
        <v>21.369511412000001</v>
      </c>
      <c r="C210" s="168">
        <v>22.095701656999999</v>
      </c>
      <c r="E210" s="181">
        <v>152.07348970000001</v>
      </c>
      <c r="F210" s="174">
        <v>42.760730780000003</v>
      </c>
      <c r="H210" s="183">
        <v>154.2529332</v>
      </c>
      <c r="I210" s="180">
        <v>43.616834019999999</v>
      </c>
      <c r="K210" s="208" t="s">
        <v>184</v>
      </c>
      <c r="L210" s="207">
        <v>18.084038683999999</v>
      </c>
      <c r="M210" s="207">
        <v>18.367009017000001</v>
      </c>
    </row>
    <row r="211" spans="1:13" ht="15.75" x14ac:dyDescent="0.25">
      <c r="A211" s="162" t="s">
        <v>185</v>
      </c>
      <c r="B211" s="163">
        <v>21.438524051000002</v>
      </c>
      <c r="C211" s="164">
        <v>22.165319987</v>
      </c>
      <c r="E211" s="182">
        <v>152.6623878</v>
      </c>
      <c r="F211" s="173">
        <v>43.188284189999997</v>
      </c>
      <c r="H211" s="184">
        <v>154.75550100000001</v>
      </c>
      <c r="I211" s="179">
        <v>43.966116900000003</v>
      </c>
      <c r="K211" s="216" t="s">
        <v>185</v>
      </c>
      <c r="L211" s="215">
        <v>18.138727501000002</v>
      </c>
      <c r="M211" s="215">
        <v>18.420022839000001</v>
      </c>
    </row>
    <row r="212" spans="1:13" ht="15.75" x14ac:dyDescent="0.25">
      <c r="A212" s="166" t="s">
        <v>186</v>
      </c>
      <c r="B212" s="167">
        <v>21.507476296</v>
      </c>
      <c r="C212" s="168">
        <v>22.23457754</v>
      </c>
      <c r="E212" s="181">
        <v>153.26268189999999</v>
      </c>
      <c r="F212" s="174">
        <v>43.618957029999997</v>
      </c>
      <c r="H212" s="183">
        <v>155.23849039999999</v>
      </c>
      <c r="I212" s="180">
        <v>44.312035790000003</v>
      </c>
      <c r="K212" s="208" t="s">
        <v>186</v>
      </c>
      <c r="L212" s="207">
        <v>18.193665551999999</v>
      </c>
      <c r="M212" s="207">
        <v>18.472977388</v>
      </c>
    </row>
    <row r="213" spans="1:13" ht="15.75" x14ac:dyDescent="0.25">
      <c r="A213" s="162" t="s">
        <v>187</v>
      </c>
      <c r="B213" s="163">
        <v>21.576359641</v>
      </c>
      <c r="C213" s="164">
        <v>22.303462757999998</v>
      </c>
      <c r="E213" s="182">
        <v>153.87381239999999</v>
      </c>
      <c r="F213" s="173">
        <v>44.052593100000003</v>
      </c>
      <c r="H213" s="184">
        <v>155.7012216</v>
      </c>
      <c r="I213" s="179">
        <v>44.654373190000001</v>
      </c>
      <c r="K213" s="216" t="s">
        <v>187</v>
      </c>
      <c r="L213" s="215">
        <v>18.248844313999999</v>
      </c>
      <c r="M213" s="215">
        <v>18.525860351999999</v>
      </c>
    </row>
    <row r="214" spans="1:13" ht="15.75" x14ac:dyDescent="0.25">
      <c r="A214" s="166" t="s">
        <v>188</v>
      </c>
      <c r="B214" s="167">
        <v>21.645165860999999</v>
      </c>
      <c r="C214" s="168">
        <v>22.371964427000002</v>
      </c>
      <c r="E214" s="181">
        <v>154.495058</v>
      </c>
      <c r="F214" s="174">
        <v>44.489030270000001</v>
      </c>
      <c r="H214" s="183">
        <v>156.14324379999999</v>
      </c>
      <c r="I214" s="180">
        <v>44.992913559999998</v>
      </c>
      <c r="K214" s="208" t="s">
        <v>188</v>
      </c>
      <c r="L214" s="207">
        <v>18.304255296000001</v>
      </c>
      <c r="M214" s="207">
        <v>18.578659513000002</v>
      </c>
    </row>
    <row r="215" spans="1:13" ht="15.75" x14ac:dyDescent="0.25">
      <c r="A215" s="162" t="s">
        <v>189</v>
      </c>
      <c r="B215" s="163">
        <v>21.713887007</v>
      </c>
      <c r="C215" s="164">
        <v>22.440071673999999</v>
      </c>
      <c r="E215" s="182">
        <v>155.12553650000001</v>
      </c>
      <c r="F215" s="173">
        <v>44.928094829999999</v>
      </c>
      <c r="H215" s="184">
        <v>156.564323</v>
      </c>
      <c r="I215" s="179">
        <v>45.327447040000003</v>
      </c>
      <c r="K215" s="216" t="s">
        <v>189</v>
      </c>
      <c r="L215" s="215">
        <v>18.359890033999999</v>
      </c>
      <c r="M215" s="215">
        <v>18.631362745000001</v>
      </c>
    </row>
    <row r="216" spans="1:13" ht="15.75" x14ac:dyDescent="0.25">
      <c r="A216" s="166" t="s">
        <v>190</v>
      </c>
      <c r="B216" s="167">
        <v>21.782515407999998</v>
      </c>
      <c r="C216" s="168">
        <v>22.507773968999999</v>
      </c>
      <c r="E216" s="181">
        <v>155.76420859999999</v>
      </c>
      <c r="F216" s="174">
        <v>45.369603150000003</v>
      </c>
      <c r="H216" s="183">
        <v>156.96442579999999</v>
      </c>
      <c r="I216" s="180">
        <v>45.657770130000003</v>
      </c>
      <c r="K216" s="208" t="s">
        <v>190</v>
      </c>
      <c r="L216" s="207">
        <v>18.415740092</v>
      </c>
      <c r="M216" s="207">
        <v>18.683958013000002</v>
      </c>
    </row>
    <row r="217" spans="1:13" ht="15.75" x14ac:dyDescent="0.25">
      <c r="A217" s="162" t="s">
        <v>191</v>
      </c>
      <c r="B217" s="163">
        <v>21.851043668999999</v>
      </c>
      <c r="C217" s="164">
        <v>22.575061126000001</v>
      </c>
      <c r="E217" s="182">
        <v>156.40988580000001</v>
      </c>
      <c r="F217" s="173">
        <v>45.813361720000003</v>
      </c>
      <c r="H217" s="184">
        <v>157.34369950000001</v>
      </c>
      <c r="I217" s="179">
        <v>45.983686560000002</v>
      </c>
      <c r="K217" s="216" t="s">
        <v>191</v>
      </c>
      <c r="L217" s="215">
        <v>18.471797059</v>
      </c>
      <c r="M217" s="215">
        <v>18.736433381000001</v>
      </c>
    </row>
    <row r="218" spans="1:13" ht="15.75" x14ac:dyDescent="0.25">
      <c r="A218" s="166" t="s">
        <v>192</v>
      </c>
      <c r="B218" s="167">
        <v>21.919464668</v>
      </c>
      <c r="C218" s="168">
        <v>22.641923302999999</v>
      </c>
      <c r="E218" s="181">
        <v>157.06124149999999</v>
      </c>
      <c r="F218" s="174">
        <v>46.259167290000001</v>
      </c>
      <c r="H218" s="183">
        <v>157.70245070000001</v>
      </c>
      <c r="I218" s="180">
        <v>46.305008579999999</v>
      </c>
      <c r="K218" s="208" t="s">
        <v>192</v>
      </c>
      <c r="L218" s="207">
        <v>18.528052549000002</v>
      </c>
      <c r="M218" s="207">
        <v>18.788777004</v>
      </c>
    </row>
    <row r="219" spans="1:13" ht="15.75" x14ac:dyDescent="0.25">
      <c r="A219" s="162" t="s">
        <v>193</v>
      </c>
      <c r="B219" s="163">
        <v>21.987771558999999</v>
      </c>
      <c r="C219" s="164">
        <v>22.708351005000001</v>
      </c>
      <c r="E219" s="182">
        <v>157.7168289</v>
      </c>
      <c r="F219" s="173">
        <v>46.706807009999999</v>
      </c>
      <c r="H219" s="184">
        <v>158.04112330000001</v>
      </c>
      <c r="I219" s="179">
        <v>46.621551830000001</v>
      </c>
      <c r="K219" s="216" t="s">
        <v>193</v>
      </c>
      <c r="L219" s="215">
        <v>18.584498198999999</v>
      </c>
      <c r="M219" s="215">
        <v>18.840977133999999</v>
      </c>
    </row>
    <row r="220" spans="1:13" ht="15.75" x14ac:dyDescent="0.25">
      <c r="A220" s="166" t="s">
        <v>194</v>
      </c>
      <c r="B220" s="167">
        <v>22.055957763999999</v>
      </c>
      <c r="C220" s="168">
        <v>22.774335079</v>
      </c>
      <c r="E220" s="181">
        <v>158.3750929</v>
      </c>
      <c r="F220" s="174">
        <v>47.156058629999997</v>
      </c>
      <c r="H220" s="183">
        <v>158.36027559999999</v>
      </c>
      <c r="I220" s="180">
        <v>46.933144040000002</v>
      </c>
      <c r="K220" s="208" t="s">
        <v>194</v>
      </c>
      <c r="L220" s="207">
        <v>18.641125665000001</v>
      </c>
      <c r="M220" s="207">
        <v>18.893022121000001</v>
      </c>
    </row>
    <row r="221" spans="1:13" ht="15.75" x14ac:dyDescent="0.25">
      <c r="A221" s="162" t="s">
        <v>195</v>
      </c>
      <c r="B221" s="163">
        <v>22.12401698</v>
      </c>
      <c r="C221" s="164">
        <v>22.839866721</v>
      </c>
      <c r="E221" s="182">
        <v>159.03439900000001</v>
      </c>
      <c r="F221" s="173">
        <v>47.606690739999998</v>
      </c>
      <c r="H221" s="184">
        <v>158.66055879999999</v>
      </c>
      <c r="I221" s="179">
        <v>47.23962058</v>
      </c>
      <c r="K221" s="216" t="s">
        <v>195</v>
      </c>
      <c r="L221" s="215">
        <v>18.697926627000001</v>
      </c>
      <c r="M221" s="215">
        <v>18.944900410999999</v>
      </c>
    </row>
    <row r="222" spans="1:13" ht="15.75" x14ac:dyDescent="0.25">
      <c r="A222" s="166" t="s">
        <v>196</v>
      </c>
      <c r="B222" s="167">
        <v>22.191943171999998</v>
      </c>
      <c r="C222" s="168">
        <v>22.904937473</v>
      </c>
      <c r="E222" s="181">
        <v>159.69305009999999</v>
      </c>
      <c r="F222" s="174">
        <v>48.058465720000001</v>
      </c>
      <c r="H222" s="183">
        <v>158.94269639999999</v>
      </c>
      <c r="I222" s="180">
        <v>47.540826039999999</v>
      </c>
      <c r="K222" s="208" t="s">
        <v>196</v>
      </c>
      <c r="L222" s="207">
        <v>18.754892780999999</v>
      </c>
      <c r="M222" s="207">
        <v>18.996600549</v>
      </c>
    </row>
    <row r="223" spans="1:13" ht="15.75" x14ac:dyDescent="0.25">
      <c r="A223" s="162" t="s">
        <v>197</v>
      </c>
      <c r="B223" s="163">
        <v>22.259730571999999</v>
      </c>
      <c r="C223" s="164">
        <v>22.969539223000002</v>
      </c>
      <c r="E223" s="182">
        <v>160.3493168</v>
      </c>
      <c r="F223" s="173">
        <v>48.511131380000002</v>
      </c>
      <c r="H223" s="184">
        <v>159.20746539999999</v>
      </c>
      <c r="I223" s="179">
        <v>47.836614660000002</v>
      </c>
      <c r="K223" s="216" t="s">
        <v>197</v>
      </c>
      <c r="L223" s="215">
        <v>18.812015839000001</v>
      </c>
      <c r="M223" s="215">
        <v>19.048111178999999</v>
      </c>
    </row>
    <row r="224" spans="1:13" ht="15.75" x14ac:dyDescent="0.25">
      <c r="A224" s="166" t="s">
        <v>198</v>
      </c>
      <c r="B224" s="167">
        <v>22.327373681000001</v>
      </c>
      <c r="C224" s="168">
        <v>23.033664209000001</v>
      </c>
      <c r="E224" s="181">
        <v>161.00145860000001</v>
      </c>
      <c r="F224" s="174">
        <v>48.964432240000001</v>
      </c>
      <c r="H224" s="183">
        <v>159.455679</v>
      </c>
      <c r="I224" s="180">
        <v>48.126850820000001</v>
      </c>
      <c r="K224" s="208" t="s">
        <v>198</v>
      </c>
      <c r="L224" s="207">
        <v>18.869287528000001</v>
      </c>
      <c r="M224" s="207">
        <v>19.099421046</v>
      </c>
    </row>
    <row r="225" spans="1:13" ht="15.75" x14ac:dyDescent="0.25">
      <c r="A225" s="162" t="s">
        <v>199</v>
      </c>
      <c r="B225" s="163">
        <v>22.394867264999998</v>
      </c>
      <c r="C225" s="164">
        <v>23.097305018</v>
      </c>
      <c r="E225" s="182">
        <v>161.6477515</v>
      </c>
      <c r="F225" s="173">
        <v>49.418103739999999</v>
      </c>
      <c r="H225" s="184">
        <v>159.68817200000001</v>
      </c>
      <c r="I225" s="179">
        <v>48.411409380000002</v>
      </c>
      <c r="K225" s="216" t="s">
        <v>199</v>
      </c>
      <c r="L225" s="215">
        <v>18.926699589999998</v>
      </c>
      <c r="M225" s="215">
        <v>19.150518993999999</v>
      </c>
    </row>
    <row r="226" spans="1:13" ht="15.75" x14ac:dyDescent="0.25">
      <c r="A226" s="166" t="s">
        <v>200</v>
      </c>
      <c r="B226" s="167">
        <v>22.462206355999999</v>
      </c>
      <c r="C226" s="168">
        <v>23.160454584</v>
      </c>
      <c r="E226" s="181">
        <v>162.28651189999999</v>
      </c>
      <c r="F226" s="174">
        <v>49.871874089999999</v>
      </c>
      <c r="H226" s="183">
        <v>159.9057871</v>
      </c>
      <c r="I226" s="180">
        <v>48.690176129999998</v>
      </c>
      <c r="K226" s="208" t="s">
        <v>200</v>
      </c>
      <c r="L226" s="207">
        <v>18.984243774999999</v>
      </c>
      <c r="M226" s="207">
        <v>19.201393971000002</v>
      </c>
    </row>
    <row r="227" spans="1:13" ht="15.75" x14ac:dyDescent="0.25">
      <c r="A227" s="162" t="s">
        <v>201</v>
      </c>
      <c r="B227" s="163">
        <v>22.529386247000001</v>
      </c>
      <c r="C227" s="164">
        <v>23.223106195</v>
      </c>
      <c r="E227" s="182">
        <v>162.91612019999999</v>
      </c>
      <c r="F227" s="173">
        <v>50.325464779999997</v>
      </c>
      <c r="H227" s="184">
        <v>160.10936469999999</v>
      </c>
      <c r="I227" s="179">
        <v>48.963048100000002</v>
      </c>
      <c r="K227" s="216" t="s">
        <v>201</v>
      </c>
      <c r="L227" s="215">
        <v>19.041911845000001</v>
      </c>
      <c r="M227" s="215">
        <v>19.252035026000001</v>
      </c>
    </row>
    <row r="228" spans="1:13" ht="15.75" x14ac:dyDescent="0.25">
      <c r="A228" s="166" t="s">
        <v>202</v>
      </c>
      <c r="B228" s="167">
        <v>22.596402495</v>
      </c>
      <c r="C228" s="168">
        <v>23.285253486999999</v>
      </c>
      <c r="E228" s="181">
        <v>163.535045</v>
      </c>
      <c r="F228" s="174">
        <v>50.778591210000002</v>
      </c>
      <c r="H228" s="183">
        <v>160.299733</v>
      </c>
      <c r="I228" s="180">
        <v>49.22993391</v>
      </c>
      <c r="K228" s="208" t="s">
        <v>202</v>
      </c>
      <c r="L228" s="207">
        <v>19.099695568000001</v>
      </c>
      <c r="M228" s="207">
        <v>19.302431312</v>
      </c>
    </row>
    <row r="229" spans="1:13" ht="15.75" x14ac:dyDescent="0.25">
      <c r="A229" s="162" t="s">
        <v>203</v>
      </c>
      <c r="B229" s="163">
        <v>22.663250918999999</v>
      </c>
      <c r="C229" s="164">
        <v>23.346890452</v>
      </c>
      <c r="E229" s="182">
        <v>164.1418486</v>
      </c>
      <c r="F229" s="173">
        <v>51.230963320000001</v>
      </c>
      <c r="H229" s="184">
        <v>160.47769959999999</v>
      </c>
      <c r="I229" s="179">
        <v>49.490754090000003</v>
      </c>
      <c r="K229" s="216" t="s">
        <v>203</v>
      </c>
      <c r="L229" s="215">
        <v>19.157586716000001</v>
      </c>
      <c r="M229" s="215">
        <v>19.352572084999998</v>
      </c>
    </row>
    <row r="230" spans="1:13" ht="15.75" x14ac:dyDescent="0.25">
      <c r="A230" s="166" t="s">
        <v>204</v>
      </c>
      <c r="B230" s="167">
        <v>22.729927594999999</v>
      </c>
      <c r="C230" s="168">
        <v>23.408011430999998</v>
      </c>
      <c r="E230" s="181">
        <v>164.7352199</v>
      </c>
      <c r="F230" s="174">
        <v>51.682286249999997</v>
      </c>
      <c r="H230" s="183">
        <v>160.64405260000001</v>
      </c>
      <c r="I230" s="180">
        <v>49.745441319999998</v>
      </c>
      <c r="K230" s="208" t="s">
        <v>204</v>
      </c>
      <c r="L230" s="207">
        <v>19.215577065000002</v>
      </c>
      <c r="M230" s="207">
        <v>19.402446706999999</v>
      </c>
    </row>
    <row r="231" spans="1:13" ht="15.75" x14ac:dyDescent="0.25">
      <c r="A231" s="162" t="s">
        <v>205</v>
      </c>
      <c r="B231" s="163">
        <v>22.796428859999999</v>
      </c>
      <c r="C231" s="164">
        <v>23.468611121999999</v>
      </c>
      <c r="E231" s="182">
        <v>165.3139755</v>
      </c>
      <c r="F231" s="173">
        <v>52.132261130000003</v>
      </c>
      <c r="H231" s="184">
        <v>160.79954280000001</v>
      </c>
      <c r="I231" s="179">
        <v>49.993940680000001</v>
      </c>
      <c r="K231" s="216" t="s">
        <v>205</v>
      </c>
      <c r="L231" s="215">
        <v>19.273658390000001</v>
      </c>
      <c r="M231" s="215">
        <v>19.452044646000001</v>
      </c>
    </row>
    <row r="232" spans="1:13" ht="15.75" x14ac:dyDescent="0.25">
      <c r="A232" s="166" t="s">
        <v>206</v>
      </c>
      <c r="B232" s="167">
        <v>22.862751308</v>
      </c>
      <c r="C232" s="168">
        <v>23.528684575</v>
      </c>
      <c r="E232" s="181">
        <v>165.8770715</v>
      </c>
      <c r="F232" s="174">
        <v>52.580585829999997</v>
      </c>
      <c r="H232" s="183">
        <v>160.94489160000001</v>
      </c>
      <c r="I232" s="180">
        <v>50.236209850000002</v>
      </c>
      <c r="K232" s="208" t="s">
        <v>206</v>
      </c>
      <c r="L232" s="207">
        <v>19.331822465999998</v>
      </c>
      <c r="M232" s="207">
        <v>19.501355476000001</v>
      </c>
    </row>
    <row r="233" spans="1:13" ht="15.75" x14ac:dyDescent="0.25">
      <c r="A233" s="162" t="s">
        <v>207</v>
      </c>
      <c r="B233" s="163">
        <v>22.928891788000001</v>
      </c>
      <c r="C233" s="164">
        <v>23.588227197999998</v>
      </c>
      <c r="E233" s="182">
        <v>166.42360869999999</v>
      </c>
      <c r="F233" s="173">
        <v>53.026955880000003</v>
      </c>
      <c r="H233" s="184">
        <v>161.08078570000001</v>
      </c>
      <c r="I233" s="179">
        <v>50.472222129999999</v>
      </c>
      <c r="K233" s="216" t="s">
        <v>207</v>
      </c>
      <c r="L233" s="215">
        <v>19.390061061000001</v>
      </c>
      <c r="M233" s="215">
        <v>19.550368876</v>
      </c>
    </row>
    <row r="234" spans="1:13" ht="15.75" x14ac:dyDescent="0.25">
      <c r="A234" s="166" t="s">
        <v>208</v>
      </c>
      <c r="B234" s="167">
        <v>22.994847407000002</v>
      </c>
      <c r="C234" s="168">
        <v>23.647234754999999</v>
      </c>
      <c r="E234" s="181">
        <v>166.9528354</v>
      </c>
      <c r="F234" s="174">
        <v>53.471065250000002</v>
      </c>
      <c r="H234" s="183">
        <v>161.2078755</v>
      </c>
      <c r="I234" s="180">
        <v>50.701955810000001</v>
      </c>
      <c r="K234" s="208" t="s">
        <v>208</v>
      </c>
      <c r="L234" s="207">
        <v>19.448365937999998</v>
      </c>
      <c r="M234" s="207">
        <v>19.599074637000001</v>
      </c>
    </row>
    <row r="235" spans="1:13" ht="15.75" x14ac:dyDescent="0.25">
      <c r="A235" s="162" t="s">
        <v>209</v>
      </c>
      <c r="B235" s="163">
        <v>23.060615523999999</v>
      </c>
      <c r="C235" s="164">
        <v>23.705703367000002</v>
      </c>
      <c r="E235" s="182">
        <v>167.46414659999999</v>
      </c>
      <c r="F235" s="173">
        <v>53.912607370000003</v>
      </c>
      <c r="H235" s="184">
        <v>161.32677440000001</v>
      </c>
      <c r="I235" s="179">
        <v>50.925409420000001</v>
      </c>
      <c r="K235" s="216" t="s">
        <v>209</v>
      </c>
      <c r="L235" s="215">
        <v>19.506728848000002</v>
      </c>
      <c r="M235" s="215">
        <v>19.647462655000002</v>
      </c>
    </row>
    <row r="236" spans="1:13" ht="15.75" x14ac:dyDescent="0.25">
      <c r="A236" s="166" t="s">
        <v>210</v>
      </c>
      <c r="B236" s="167">
        <v>23.126193752999999</v>
      </c>
      <c r="C236" s="168">
        <v>23.763629515000002</v>
      </c>
      <c r="E236" s="181">
        <v>167.95708139999999</v>
      </c>
      <c r="F236" s="174">
        <v>54.351276079999998</v>
      </c>
      <c r="H236" s="183">
        <v>161.43805929999999</v>
      </c>
      <c r="I236" s="180">
        <v>51.142592290000003</v>
      </c>
      <c r="K236" s="208" t="s">
        <v>210</v>
      </c>
      <c r="L236" s="207">
        <v>19.565141531999998</v>
      </c>
      <c r="M236" s="207">
        <v>19.695522937</v>
      </c>
    </row>
    <row r="237" spans="1:13" ht="15.75" x14ac:dyDescent="0.25">
      <c r="A237" s="162" t="s">
        <v>211</v>
      </c>
      <c r="B237" s="163">
        <v>23.191579958999998</v>
      </c>
      <c r="C237" s="164">
        <v>23.821010038000001</v>
      </c>
      <c r="E237" s="182">
        <v>168.43131750000001</v>
      </c>
      <c r="F237" s="173">
        <v>54.786766589999999</v>
      </c>
      <c r="H237" s="184">
        <v>161.54227259999999</v>
      </c>
      <c r="I237" s="179">
        <v>51.353526799999997</v>
      </c>
      <c r="K237" s="216" t="s">
        <v>211</v>
      </c>
      <c r="L237" s="215">
        <v>19.623595714</v>
      </c>
      <c r="M237" s="215">
        <v>19.743245597000001</v>
      </c>
    </row>
    <row r="238" spans="1:13" ht="15.75" x14ac:dyDescent="0.25">
      <c r="A238" s="166" t="s">
        <v>212</v>
      </c>
      <c r="B238" s="167">
        <v>23.256772259000002</v>
      </c>
      <c r="C238" s="168">
        <v>23.877842137999998</v>
      </c>
      <c r="E238" s="181">
        <v>168.8866644</v>
      </c>
      <c r="F238" s="174">
        <v>55.218776570000003</v>
      </c>
      <c r="H238" s="183">
        <v>161.639917</v>
      </c>
      <c r="I238" s="180">
        <v>51.558248310000003</v>
      </c>
      <c r="K238" s="208" t="s">
        <v>212</v>
      </c>
      <c r="L238" s="207">
        <v>19.682083101</v>
      </c>
      <c r="M238" s="207">
        <v>19.790620862000001</v>
      </c>
    </row>
    <row r="239" spans="1:13" ht="15.75" x14ac:dyDescent="0.25">
      <c r="A239" s="162" t="s">
        <v>213</v>
      </c>
      <c r="B239" s="163">
        <v>23.321769021000001</v>
      </c>
      <c r="C239" s="164">
        <v>23.934123375999999</v>
      </c>
      <c r="E239" s="182">
        <v>169.32305479999999</v>
      </c>
      <c r="F239" s="173">
        <v>55.647011310000003</v>
      </c>
      <c r="H239" s="184">
        <v>161.73146449999999</v>
      </c>
      <c r="I239" s="179">
        <v>51.756805129999996</v>
      </c>
      <c r="K239" s="216" t="s">
        <v>213</v>
      </c>
      <c r="L239" s="215">
        <v>19.740595376000002</v>
      </c>
      <c r="M239" s="215">
        <v>19.837639068000001</v>
      </c>
    </row>
    <row r="240" spans="1:13" ht="15.75" x14ac:dyDescent="0.25">
      <c r="A240" s="166" t="s">
        <v>214</v>
      </c>
      <c r="B240" s="167">
        <v>23.386568863000001</v>
      </c>
      <c r="C240" s="168">
        <v>23.989851678000001</v>
      </c>
      <c r="E240" s="181">
        <v>169.74053509999999</v>
      </c>
      <c r="F240" s="174">
        <v>56.071164070000002</v>
      </c>
      <c r="H240" s="183">
        <v>161.8173534</v>
      </c>
      <c r="I240" s="180">
        <v>51.949258409999999</v>
      </c>
      <c r="K240" s="208" t="s">
        <v>214</v>
      </c>
      <c r="L240" s="207">
        <v>19.799124201000001</v>
      </c>
      <c r="M240" s="207">
        <v>19.884290662000002</v>
      </c>
    </row>
    <row r="241" spans="1:13" ht="15.75" x14ac:dyDescent="0.25">
      <c r="A241" s="162" t="s">
        <v>215</v>
      </c>
      <c r="B241" s="163">
        <v>23.451170651999998</v>
      </c>
      <c r="C241" s="164">
        <v>24.045025332000002</v>
      </c>
      <c r="E241" s="182">
        <v>170.13925499999999</v>
      </c>
      <c r="F241" s="173">
        <v>56.490958620000001</v>
      </c>
      <c r="H241" s="184">
        <v>161.8979913</v>
      </c>
      <c r="I241" s="179">
        <v>52.135681929999997</v>
      </c>
      <c r="K241" s="216" t="s">
        <v>215</v>
      </c>
      <c r="L241" s="215">
        <v>19.857661209</v>
      </c>
      <c r="M241" s="215">
        <v>19.930566203000001</v>
      </c>
    </row>
    <row r="242" spans="1:13" ht="15.75" x14ac:dyDescent="0.25">
      <c r="A242" s="166" t="s">
        <v>216</v>
      </c>
      <c r="B242" s="167">
        <v>23.515573502999999</v>
      </c>
      <c r="C242" s="168">
        <v>24.099642992</v>
      </c>
      <c r="E242" s="181">
        <v>170.51945670000001</v>
      </c>
      <c r="F242" s="174">
        <v>56.906108860000003</v>
      </c>
      <c r="H242" s="183">
        <v>161.97375579999999</v>
      </c>
      <c r="I242" s="180">
        <v>52.316161970000003</v>
      </c>
      <c r="K242" s="208" t="s">
        <v>216</v>
      </c>
      <c r="L242" s="207">
        <v>19.916198004000002</v>
      </c>
      <c r="M242" s="207">
        <v>19.976456361</v>
      </c>
    </row>
    <row r="243" spans="1:13" ht="15.75" x14ac:dyDescent="0.25">
      <c r="A243" s="162" t="s">
        <v>217</v>
      </c>
      <c r="B243" s="163">
        <v>23.579776782</v>
      </c>
      <c r="C243" s="164">
        <v>24.153703677999999</v>
      </c>
      <c r="E243" s="182">
        <v>170.88146399999999</v>
      </c>
      <c r="F243" s="173">
        <v>57.316340590000003</v>
      </c>
      <c r="H243" s="184">
        <v>162.0449969</v>
      </c>
      <c r="I243" s="179">
        <v>52.490797030000003</v>
      </c>
      <c r="K243" s="216" t="s">
        <v>217</v>
      </c>
      <c r="L243" s="215">
        <v>19.974726153999999</v>
      </c>
      <c r="M243" s="215">
        <v>20.021951916999999</v>
      </c>
    </row>
    <row r="244" spans="1:13" ht="15.75" x14ac:dyDescent="0.25">
      <c r="A244" s="166" t="s">
        <v>218</v>
      </c>
      <c r="B244" s="167">
        <v>23.643780100000001</v>
      </c>
      <c r="C244" s="168">
        <v>24.207206776</v>
      </c>
      <c r="E244" s="181">
        <v>171.22567169999999</v>
      </c>
      <c r="F244" s="174">
        <v>57.72138846</v>
      </c>
      <c r="H244" s="183">
        <v>162.11203860000001</v>
      </c>
      <c r="I244" s="180">
        <v>52.659697569999999</v>
      </c>
      <c r="K244" s="208" t="s">
        <v>218</v>
      </c>
      <c r="L244" s="207">
        <v>20.033237194000002</v>
      </c>
      <c r="M244" s="207">
        <v>20.067043765000001</v>
      </c>
    </row>
    <row r="245" spans="1:13" ht="15.75" x14ac:dyDescent="0.25">
      <c r="A245" s="162" t="s">
        <v>219</v>
      </c>
      <c r="B245" s="163">
        <v>23.707583317000001</v>
      </c>
      <c r="C245" s="164">
        <v>24.260152041000001</v>
      </c>
      <c r="E245" s="182">
        <v>171.55253450000001</v>
      </c>
      <c r="F245" s="173">
        <v>58.120996959999999</v>
      </c>
      <c r="H245" s="184">
        <v>162.17518000000001</v>
      </c>
      <c r="I245" s="179">
        <v>52.822985719999998</v>
      </c>
      <c r="K245" s="216" t="s">
        <v>219</v>
      </c>
      <c r="L245" s="215">
        <v>20.091722614999998</v>
      </c>
      <c r="M245" s="215">
        <v>20.111722910000001</v>
      </c>
    </row>
    <row r="246" spans="1:13" ht="15.75" x14ac:dyDescent="0.25">
      <c r="A246" s="166" t="s">
        <v>220</v>
      </c>
      <c r="B246" s="167">
        <v>23.771186540999999</v>
      </c>
      <c r="C246" s="168">
        <v>24.312539595000001</v>
      </c>
      <c r="E246" s="181">
        <v>171.8625576</v>
      </c>
      <c r="F246" s="174">
        <v>58.514921430000001</v>
      </c>
      <c r="H246" s="183">
        <v>162.23469789999999</v>
      </c>
      <c r="I246" s="180">
        <v>52.980794899999999</v>
      </c>
      <c r="K246" s="208" t="s">
        <v>220</v>
      </c>
      <c r="L246" s="207">
        <v>20.15017387</v>
      </c>
      <c r="M246" s="207">
        <v>20.155980468999999</v>
      </c>
    </row>
    <row r="247" spans="1:13" ht="15.75" x14ac:dyDescent="0.25">
      <c r="A247" s="162" t="s">
        <v>221</v>
      </c>
      <c r="B247" s="163">
        <v>23.834590126999998</v>
      </c>
      <c r="C247" s="164">
        <v>24.364369930999999</v>
      </c>
      <c r="E247" s="182">
        <v>172.15628649999999</v>
      </c>
      <c r="F247" s="173">
        <v>58.902932079999999</v>
      </c>
      <c r="H247" s="184">
        <v>162.29084739999999</v>
      </c>
      <c r="I247" s="179">
        <v>53.133269460000001</v>
      </c>
      <c r="K247" s="216" t="s">
        <v>221</v>
      </c>
      <c r="L247" s="215">
        <v>20.208582361000001</v>
      </c>
      <c r="M247" s="215">
        <v>20.199807671999999</v>
      </c>
    </row>
    <row r="248" spans="1:13" ht="15.75" x14ac:dyDescent="0.25">
      <c r="A248" s="166" t="s">
        <v>222</v>
      </c>
      <c r="B248" s="167">
        <v>23.897794676</v>
      </c>
      <c r="C248" s="168">
        <v>24.415643913</v>
      </c>
      <c r="E248" s="181">
        <v>172.43429829999999</v>
      </c>
      <c r="F248" s="174">
        <v>59.284799479999997</v>
      </c>
      <c r="H248" s="183">
        <v>162.343864</v>
      </c>
      <c r="I248" s="180">
        <v>53.280564249999998</v>
      </c>
      <c r="K248" s="208" t="s">
        <v>222</v>
      </c>
      <c r="L248" s="207">
        <v>20.266939443999998</v>
      </c>
      <c r="M248" s="207">
        <v>20.243195857</v>
      </c>
    </row>
    <row r="249" spans="1:13" ht="15.75" x14ac:dyDescent="0.25">
      <c r="A249" s="162" t="s">
        <v>223</v>
      </c>
      <c r="B249" s="163">
        <v>23.960801041</v>
      </c>
      <c r="C249" s="164">
        <v>24.466362775</v>
      </c>
      <c r="E249" s="182">
        <v>172.6971935</v>
      </c>
      <c r="F249" s="173">
        <v>59.660326259999998</v>
      </c>
      <c r="H249" s="184">
        <v>162.3939652</v>
      </c>
      <c r="I249" s="179">
        <v>53.422844169999998</v>
      </c>
      <c r="K249" s="216" t="s">
        <v>223</v>
      </c>
      <c r="L249" s="215">
        <v>20.325236424</v>
      </c>
      <c r="M249" s="215">
        <v>20.286136476999999</v>
      </c>
    </row>
    <row r="250" spans="1:13" ht="15.75" x14ac:dyDescent="0.25">
      <c r="A250" s="166" t="s">
        <v>224</v>
      </c>
      <c r="B250" s="167">
        <v>24.023610321</v>
      </c>
      <c r="C250" s="168">
        <v>24.516528123000001</v>
      </c>
      <c r="E250" s="181">
        <v>172.94558979999999</v>
      </c>
      <c r="F250" s="174">
        <v>60.029317040000002</v>
      </c>
      <c r="H250" s="183">
        <v>162.44135130000001</v>
      </c>
      <c r="I250" s="180">
        <v>53.560283699999999</v>
      </c>
      <c r="K250" s="208" t="s">
        <v>224</v>
      </c>
      <c r="L250" s="207">
        <v>20.383464547999999</v>
      </c>
      <c r="M250" s="207">
        <v>20.328621092999999</v>
      </c>
    </row>
    <row r="251" spans="1:13" ht="15.75" x14ac:dyDescent="0.25">
      <c r="A251" s="162" t="s">
        <v>225</v>
      </c>
      <c r="B251" s="163">
        <v>24.086223863000001</v>
      </c>
      <c r="C251" s="164">
        <v>24.566141937000001</v>
      </c>
      <c r="E251" s="182">
        <v>173.18011200000001</v>
      </c>
      <c r="F251" s="173">
        <v>60.391587209999997</v>
      </c>
      <c r="H251" s="184">
        <v>162.4862071</v>
      </c>
      <c r="I251" s="179">
        <v>53.693066369999997</v>
      </c>
      <c r="K251" s="216" t="s">
        <v>225</v>
      </c>
      <c r="L251" s="215">
        <v>20.441615007999999</v>
      </c>
      <c r="M251" s="215">
        <v>20.370641375999998</v>
      </c>
    </row>
    <row r="252" spans="1:13" ht="15.75" x14ac:dyDescent="0.25">
      <c r="A252" s="166" t="s">
        <v>226</v>
      </c>
      <c r="B252" s="167">
        <v>24.148643267000001</v>
      </c>
      <c r="C252" s="168">
        <v>24.615206570000002</v>
      </c>
      <c r="E252" s="181">
        <v>173.40138959999999</v>
      </c>
      <c r="F252" s="174">
        <v>60.746987849999996</v>
      </c>
      <c r="H252" s="183">
        <v>162.52870290000001</v>
      </c>
      <c r="I252" s="180">
        <v>53.821384219999999</v>
      </c>
      <c r="K252" s="208" t="s">
        <v>226</v>
      </c>
      <c r="L252" s="207">
        <v>20.499678934999999</v>
      </c>
      <c r="M252" s="207">
        <v>20.412189106</v>
      </c>
    </row>
    <row r="253" spans="1:13" ht="15.75" x14ac:dyDescent="0.25">
      <c r="A253" s="162" t="s">
        <v>227</v>
      </c>
      <c r="B253" s="163">
        <v>24.210870379999999</v>
      </c>
      <c r="C253" s="164">
        <v>24.663724748</v>
      </c>
      <c r="E253" s="182">
        <v>173.61005180000001</v>
      </c>
      <c r="F253" s="173">
        <v>61.095368469999997</v>
      </c>
      <c r="H253" s="184">
        <v>162.56899580000001</v>
      </c>
      <c r="I253" s="179">
        <v>53.945437249999998</v>
      </c>
      <c r="K253" s="216" t="s">
        <v>227</v>
      </c>
      <c r="L253" s="215">
        <v>20.557647399</v>
      </c>
      <c r="M253" s="215">
        <v>20.453256172</v>
      </c>
    </row>
    <row r="254" spans="1:13" ht="15.75" x14ac:dyDescent="0.25">
      <c r="A254" s="166" t="s">
        <v>228</v>
      </c>
      <c r="B254" s="167">
        <v>24.272907303</v>
      </c>
      <c r="C254" s="168">
        <v>24.711699572000001</v>
      </c>
      <c r="E254" s="181">
        <v>173.8067179</v>
      </c>
      <c r="F254" s="174">
        <v>61.436600769999998</v>
      </c>
      <c r="H254" s="183">
        <v>162.60723089999999</v>
      </c>
      <c r="I254" s="180">
        <v>54.065432780000002</v>
      </c>
      <c r="K254" s="208" t="s">
        <v>228</v>
      </c>
      <c r="L254" s="207">
        <v>20.615511403999999</v>
      </c>
      <c r="M254" s="207">
        <v>20.493834570000001</v>
      </c>
    </row>
    <row r="255" spans="1:13" ht="15.75" x14ac:dyDescent="0.25">
      <c r="A255" s="162" t="s">
        <v>229</v>
      </c>
      <c r="B255" s="163">
        <v>24.334756390999999</v>
      </c>
      <c r="C255" s="164">
        <v>24.759134513999999</v>
      </c>
      <c r="E255" s="182">
        <v>173.9919998</v>
      </c>
      <c r="F255" s="173">
        <v>61.770573720000002</v>
      </c>
      <c r="H255" s="184">
        <v>162.64354180000001</v>
      </c>
      <c r="I255" s="179">
        <v>54.181584860000001</v>
      </c>
      <c r="K255" s="216" t="s">
        <v>229</v>
      </c>
      <c r="L255" s="215">
        <v>20.673261888999999</v>
      </c>
      <c r="M255" s="215">
        <v>20.533916399999999</v>
      </c>
    </row>
    <row r="256" spans="1:13" ht="15.75" x14ac:dyDescent="0.25">
      <c r="A256" s="166" t="s">
        <v>230</v>
      </c>
      <c r="B256" s="167">
        <v>24.396419304999998</v>
      </c>
      <c r="C256" s="168">
        <v>24.806033423999999</v>
      </c>
      <c r="E256" s="181">
        <v>174.16649509999999</v>
      </c>
      <c r="F256" s="174">
        <v>62.097193990000001</v>
      </c>
      <c r="H256" s="183">
        <v>162.67805190000001</v>
      </c>
      <c r="I256" s="180">
        <v>54.29411356</v>
      </c>
      <c r="K256" s="208" t="s">
        <v>230</v>
      </c>
      <c r="L256" s="207">
        <v>20.730889050999998</v>
      </c>
      <c r="M256" s="207">
        <v>20.573493869</v>
      </c>
    </row>
    <row r="257" spans="1:13" ht="15.75" x14ac:dyDescent="0.25">
      <c r="A257" s="162" t="s">
        <v>231</v>
      </c>
      <c r="B257" s="163">
        <v>24.457900896000002</v>
      </c>
      <c r="C257" s="164">
        <v>24.852400525</v>
      </c>
      <c r="E257" s="182">
        <v>174.33078549999999</v>
      </c>
      <c r="F257" s="173">
        <v>62.416386279999998</v>
      </c>
      <c r="H257" s="184">
        <v>162.71087510000001</v>
      </c>
      <c r="I257" s="179">
        <v>54.403244309999998</v>
      </c>
      <c r="K257" s="216" t="s">
        <v>231</v>
      </c>
      <c r="L257" s="215">
        <v>20.788385101999999</v>
      </c>
      <c r="M257" s="215">
        <v>20.612559285</v>
      </c>
    </row>
    <row r="258" spans="1:13" ht="15.75" x14ac:dyDescent="0.25">
      <c r="A258" s="166" t="s">
        <v>232</v>
      </c>
      <c r="B258" s="167">
        <v>24.519203234999999</v>
      </c>
      <c r="C258" s="168">
        <v>24.898240411</v>
      </c>
      <c r="E258" s="181">
        <v>174.4854344</v>
      </c>
      <c r="F258" s="174">
        <v>62.728093620000003</v>
      </c>
      <c r="H258" s="183">
        <v>162.74211679999999</v>
      </c>
      <c r="I258" s="180">
        <v>54.509207170000003</v>
      </c>
      <c r="K258" s="208" t="s">
        <v>232</v>
      </c>
      <c r="L258" s="207">
        <v>20.845740029000002</v>
      </c>
      <c r="M258" s="207">
        <v>20.651105057999999</v>
      </c>
    </row>
    <row r="259" spans="1:13" ht="15.75" x14ac:dyDescent="0.25">
      <c r="A259" s="162" t="s">
        <v>233</v>
      </c>
      <c r="B259" s="163">
        <v>24.580329706000001</v>
      </c>
      <c r="C259" s="164">
        <v>24.943558054</v>
      </c>
      <c r="E259" s="182">
        <v>174.6309856</v>
      </c>
      <c r="F259" s="173">
        <v>63.032277559999997</v>
      </c>
      <c r="H259" s="184">
        <v>162.77187409999999</v>
      </c>
      <c r="I259" s="179">
        <v>54.612236029999998</v>
      </c>
      <c r="K259" s="216" t="s">
        <v>233</v>
      </c>
      <c r="L259" s="215">
        <v>20.902944494</v>
      </c>
      <c r="M259" s="215">
        <v>20.689123698</v>
      </c>
    </row>
    <row r="260" spans="1:13" ht="15.75" x14ac:dyDescent="0.25">
      <c r="A260" s="166" t="s">
        <v>234</v>
      </c>
      <c r="B260" s="167">
        <v>24.641283952999999</v>
      </c>
      <c r="C260" s="168">
        <v>24.988357847</v>
      </c>
      <c r="E260" s="181">
        <v>174.7679617</v>
      </c>
      <c r="F260" s="174">
        <v>63.32891841</v>
      </c>
      <c r="H260" s="183">
        <v>162.8002371</v>
      </c>
      <c r="I260" s="180">
        <v>54.712567870000001</v>
      </c>
      <c r="K260" s="208" t="s">
        <v>234</v>
      </c>
      <c r="L260" s="207">
        <v>20.959989088</v>
      </c>
      <c r="M260" s="207">
        <v>20.726607282</v>
      </c>
    </row>
    <row r="261" spans="1:13" ht="15.75" x14ac:dyDescent="0.25">
      <c r="A261" s="162" t="s">
        <v>235</v>
      </c>
      <c r="B261" s="163">
        <v>24.702069886</v>
      </c>
      <c r="C261" s="164">
        <v>25.032648355999999</v>
      </c>
      <c r="E261" s="182">
        <v>174.8968634</v>
      </c>
      <c r="F261" s="173">
        <v>63.618015370000002</v>
      </c>
      <c r="H261" s="184">
        <v>162.82728890000001</v>
      </c>
      <c r="I261" s="179">
        <v>54.810441840000003</v>
      </c>
      <c r="K261" s="216" t="s">
        <v>235</v>
      </c>
      <c r="L261" s="215">
        <v>21.016864330000001</v>
      </c>
      <c r="M261" s="215">
        <v>20.763550105</v>
      </c>
    </row>
    <row r="262" spans="1:13" ht="15.75" x14ac:dyDescent="0.25">
      <c r="A262" s="166" t="s">
        <v>236</v>
      </c>
      <c r="B262" s="167">
        <v>24.76269168</v>
      </c>
      <c r="C262" s="168">
        <v>25.076432823000001</v>
      </c>
      <c r="E262" s="181">
        <v>175.01816909999999</v>
      </c>
      <c r="F262" s="174">
        <v>63.899586620000001</v>
      </c>
      <c r="H262" s="183">
        <v>162.85310670000001</v>
      </c>
      <c r="I262" s="180">
        <v>54.906098419999999</v>
      </c>
      <c r="K262" s="208" t="s">
        <v>236</v>
      </c>
      <c r="L262" s="207">
        <v>21.073560673999999</v>
      </c>
      <c r="M262" s="207">
        <v>20.799943374000001</v>
      </c>
    </row>
    <row r="263" spans="1:13" ht="15.75" x14ac:dyDescent="0.25">
      <c r="A263" s="162" t="s">
        <v>237</v>
      </c>
      <c r="B263" s="163">
        <v>24.823153781999999</v>
      </c>
      <c r="C263" s="164">
        <v>25.11971866</v>
      </c>
      <c r="E263" s="182">
        <v>175.13233450000001</v>
      </c>
      <c r="F263" s="173">
        <v>64.173669430000004</v>
      </c>
      <c r="H263" s="184">
        <v>162.8777619</v>
      </c>
      <c r="I263" s="179">
        <v>54.999778460000002</v>
      </c>
      <c r="K263" s="216" t="s">
        <v>237</v>
      </c>
      <c r="L263" s="215">
        <v>21.130068501</v>
      </c>
      <c r="M263" s="215">
        <v>20.835780509999999</v>
      </c>
    </row>
    <row r="264" spans="1:13" ht="15.75" x14ac:dyDescent="0.25">
      <c r="A264" s="166" t="s">
        <v>238</v>
      </c>
      <c r="B264" s="167">
        <v>24.883460908</v>
      </c>
      <c r="C264" s="168">
        <v>25.162512708000001</v>
      </c>
      <c r="E264" s="181">
        <v>175.23979259999999</v>
      </c>
      <c r="F264" s="174">
        <v>64.440320159999999</v>
      </c>
      <c r="H264" s="183">
        <v>162.90132080000001</v>
      </c>
      <c r="I264" s="180">
        <v>55.091722169999997</v>
      </c>
      <c r="K264" s="208" t="s">
        <v>238</v>
      </c>
      <c r="L264" s="207">
        <v>21.186378131000001</v>
      </c>
      <c r="M264" s="207">
        <v>20.871054492999999</v>
      </c>
    </row>
    <row r="265" spans="1:13" ht="15.75" x14ac:dyDescent="0.25">
      <c r="A265" s="162" t="s">
        <v>239</v>
      </c>
      <c r="B265" s="163">
        <v>24.943618051000001</v>
      </c>
      <c r="C265" s="164">
        <v>25.204822177</v>
      </c>
      <c r="E265" s="182">
        <v>175.34095400000001</v>
      </c>
      <c r="F265" s="173">
        <v>64.699614269999998</v>
      </c>
      <c r="H265" s="184">
        <v>162.92384490000001</v>
      </c>
      <c r="I265" s="179">
        <v>55.182168109999999</v>
      </c>
      <c r="K265" s="216" t="s">
        <v>239</v>
      </c>
      <c r="L265" s="215">
        <v>21.242479819</v>
      </c>
      <c r="M265" s="215">
        <v>20.905758393999999</v>
      </c>
    </row>
    <row r="266" spans="1:13" ht="15.75" x14ac:dyDescent="0.25">
      <c r="A266" s="166" t="s">
        <v>240</v>
      </c>
      <c r="B266" s="167">
        <v>25.003630481999998</v>
      </c>
      <c r="C266" s="168">
        <v>25.246653476999999</v>
      </c>
      <c r="E266" s="181">
        <v>175.43620709999999</v>
      </c>
      <c r="F266" s="174">
        <v>64.951646249999996</v>
      </c>
      <c r="H266" s="183">
        <v>162.94539119999999</v>
      </c>
      <c r="I266" s="180">
        <v>55.271352</v>
      </c>
      <c r="K266" s="208" t="s">
        <v>240</v>
      </c>
      <c r="L266" s="207">
        <v>21.298363759000001</v>
      </c>
      <c r="M266" s="207">
        <v>20.939884768999999</v>
      </c>
    </row>
    <row r="267" spans="1:13" ht="15.75" x14ac:dyDescent="0.25">
      <c r="A267" s="162" t="s">
        <v>241</v>
      </c>
      <c r="B267" s="163">
        <v>25.063503753999999</v>
      </c>
      <c r="C267" s="164">
        <v>25.28801794</v>
      </c>
      <c r="E267" s="182">
        <v>175.52591910000001</v>
      </c>
      <c r="F267" s="173">
        <v>65.196529499999997</v>
      </c>
      <c r="H267" s="184">
        <v>162.9660131</v>
      </c>
      <c r="I267" s="179">
        <v>55.359505579999997</v>
      </c>
      <c r="K267" s="216" t="s">
        <v>241</v>
      </c>
      <c r="L267" s="215">
        <v>21.354020093999999</v>
      </c>
      <c r="M267" s="215">
        <v>20.973428578</v>
      </c>
    </row>
    <row r="268" spans="1:13" ht="15.75" x14ac:dyDescent="0.25">
      <c r="A268" s="166" t="s">
        <v>242</v>
      </c>
      <c r="B268" s="167">
        <v>25.123243703</v>
      </c>
      <c r="C268" s="168">
        <v>25.328921084000001</v>
      </c>
      <c r="E268" s="181">
        <v>175.6104358</v>
      </c>
      <c r="F268" s="174">
        <v>65.434401859999994</v>
      </c>
      <c r="H268" s="183">
        <v>162.98575990000001</v>
      </c>
      <c r="I268" s="180">
        <v>55.446855309999997</v>
      </c>
      <c r="K268" s="208" t="s">
        <v>242</v>
      </c>
      <c r="L268" s="207">
        <v>21.409438910999999</v>
      </c>
      <c r="M268" s="207">
        <v>21.006381704999999</v>
      </c>
    </row>
    <row r="269" spans="1:13" ht="15.75" x14ac:dyDescent="0.25">
      <c r="A269" s="162" t="s">
        <v>243</v>
      </c>
      <c r="B269" s="163">
        <v>25.182856454</v>
      </c>
      <c r="C269" s="164">
        <v>25.369371303000001</v>
      </c>
      <c r="E269" s="182">
        <v>175.69008299999999</v>
      </c>
      <c r="F269" s="173">
        <v>65.665400149999996</v>
      </c>
      <c r="H269" s="184">
        <v>163.00467760000001</v>
      </c>
      <c r="I269" s="179">
        <v>55.533621070000002</v>
      </c>
      <c r="K269" s="216" t="s">
        <v>243</v>
      </c>
      <c r="L269" s="215">
        <v>21.464610257</v>
      </c>
      <c r="M269" s="215">
        <v>21.038737401999999</v>
      </c>
    </row>
    <row r="270" spans="1:13" ht="15.75" x14ac:dyDescent="0.25">
      <c r="A270" s="166" t="s">
        <v>244</v>
      </c>
      <c r="B270" s="167">
        <v>25.242348422999999</v>
      </c>
      <c r="C270" s="168">
        <v>25.409379292000001</v>
      </c>
      <c r="E270" s="181">
        <v>175.76516710000001</v>
      </c>
      <c r="F270" s="174">
        <v>65.889701169999995</v>
      </c>
      <c r="H270" s="183">
        <v>163.0228094</v>
      </c>
      <c r="I270" s="180">
        <v>55.620014640000001</v>
      </c>
      <c r="K270" s="208" t="s">
        <v>244</v>
      </c>
      <c r="L270" s="207">
        <v>21.519524136000001</v>
      </c>
      <c r="M270" s="207">
        <v>21.070489959</v>
      </c>
    </row>
    <row r="271" spans="1:13" ht="15.75" x14ac:dyDescent="0.25">
      <c r="A271" s="162" t="s">
        <v>245</v>
      </c>
      <c r="B271" s="163">
        <v>25.301726323</v>
      </c>
      <c r="C271" s="164">
        <v>25.448953455000002</v>
      </c>
      <c r="E271" s="182">
        <v>175.83597570000001</v>
      </c>
      <c r="F271" s="173">
        <v>66.107491139999993</v>
      </c>
      <c r="H271" s="184">
        <v>163.04019529999999</v>
      </c>
      <c r="I271" s="179">
        <v>55.706238259999999</v>
      </c>
      <c r="K271" s="216" t="s">
        <v>245</v>
      </c>
      <c r="L271" s="215">
        <v>21.574170525</v>
      </c>
      <c r="M271" s="215">
        <v>21.101632407</v>
      </c>
    </row>
    <row r="272" spans="1:13" ht="15.75" x14ac:dyDescent="0.25">
      <c r="A272" s="166" t="s">
        <v>246</v>
      </c>
      <c r="B272" s="167">
        <v>25.360997164</v>
      </c>
      <c r="C272" s="168">
        <v>25.488103768999999</v>
      </c>
      <c r="E272" s="181">
        <v>175.90277879999999</v>
      </c>
      <c r="F272" s="174">
        <v>66.318973110000002</v>
      </c>
      <c r="H272" s="183">
        <v>163.05687270000001</v>
      </c>
      <c r="I272" s="180">
        <v>55.792479389999997</v>
      </c>
      <c r="K272" s="208" t="s">
        <v>246</v>
      </c>
      <c r="L272" s="207">
        <v>21.628539372999999</v>
      </c>
      <c r="M272" s="207">
        <v>21.132158446999998</v>
      </c>
    </row>
    <row r="273" spans="1:13" ht="15.75" x14ac:dyDescent="0.25">
      <c r="A273" s="162" t="s">
        <v>247</v>
      </c>
      <c r="B273" s="163">
        <v>25.420168260000001</v>
      </c>
      <c r="C273" s="164">
        <v>25.526840292999999</v>
      </c>
      <c r="E273" s="182">
        <v>175.9658293</v>
      </c>
      <c r="F273" s="173">
        <v>66.524366180000001</v>
      </c>
      <c r="H273" s="184">
        <v>163.07287679999999</v>
      </c>
      <c r="I273" s="179">
        <v>55.878923559999997</v>
      </c>
      <c r="K273" s="216" t="s">
        <v>247</v>
      </c>
      <c r="L273" s="215">
        <v>21.682620618000001</v>
      </c>
      <c r="M273" s="215">
        <v>21.162061708</v>
      </c>
    </row>
    <row r="274" spans="1:13" ht="15.75" x14ac:dyDescent="0.25">
      <c r="A274" s="166" t="s">
        <v>248</v>
      </c>
      <c r="B274" s="167">
        <v>25.479247228999998</v>
      </c>
      <c r="C274" s="168">
        <v>25.565171840000001</v>
      </c>
      <c r="E274" s="181">
        <v>176.02536409999999</v>
      </c>
      <c r="F274" s="174">
        <v>66.723904430000005</v>
      </c>
      <c r="H274" s="183">
        <v>163.08824039999999</v>
      </c>
      <c r="I274" s="180">
        <v>55.965730219999998</v>
      </c>
      <c r="K274" s="208" t="s">
        <v>248</v>
      </c>
      <c r="L274" s="207">
        <v>21.736404190999998</v>
      </c>
      <c r="M274" s="207">
        <v>21.191335097</v>
      </c>
    </row>
    <row r="275" spans="1:13" ht="15.75" x14ac:dyDescent="0.25">
      <c r="A275" s="162" t="s">
        <v>249</v>
      </c>
      <c r="B275" s="163">
        <v>25.538242002</v>
      </c>
      <c r="C275" s="164">
        <v>25.603114000000001</v>
      </c>
      <c r="E275" s="182">
        <v>176.081605</v>
      </c>
      <c r="F275" s="173">
        <v>66.917835629999999</v>
      </c>
      <c r="H275" s="184">
        <v>163.10299430000001</v>
      </c>
      <c r="I275" s="179">
        <v>56.053046010000003</v>
      </c>
      <c r="K275" s="216" t="s">
        <v>249</v>
      </c>
      <c r="L275" s="215">
        <v>21.789880028999999</v>
      </c>
      <c r="M275" s="215">
        <v>21.219974715999999</v>
      </c>
    </row>
    <row r="276" spans="1:13" ht="15.75" x14ac:dyDescent="0.25">
      <c r="A276" s="166" t="s">
        <v>250</v>
      </c>
      <c r="B276" s="167">
        <v>25.597160952999999</v>
      </c>
      <c r="C276" s="168">
        <v>25.640674345000001</v>
      </c>
      <c r="E276" s="181">
        <v>176.13475930000001</v>
      </c>
      <c r="F276" s="174">
        <v>67.106419560000006</v>
      </c>
      <c r="H276" s="183">
        <v>163.11716730000001</v>
      </c>
      <c r="I276" s="180">
        <v>56.14099882</v>
      </c>
      <c r="K276" s="208" t="s">
        <v>250</v>
      </c>
      <c r="L276" s="207">
        <v>21.843038191000002</v>
      </c>
      <c r="M276" s="207">
        <v>21.247972622999999</v>
      </c>
    </row>
    <row r="277" spans="1:13" ht="15.75" x14ac:dyDescent="0.25">
      <c r="A277" s="162" t="s">
        <v>251</v>
      </c>
      <c r="B277" s="163">
        <v>25.656012444000002</v>
      </c>
      <c r="C277" s="164">
        <v>25.677863760000001</v>
      </c>
      <c r="E277" s="182">
        <v>176.18502079999999</v>
      </c>
      <c r="F277" s="173">
        <v>67.289926030000004</v>
      </c>
      <c r="H277" s="184">
        <v>163.13078659999999</v>
      </c>
      <c r="I277" s="179">
        <v>56.229695640000003</v>
      </c>
      <c r="K277" s="216" t="s">
        <v>251</v>
      </c>
      <c r="L277" s="215">
        <v>21.895868500999999</v>
      </c>
      <c r="M277" s="215">
        <v>21.275322388999999</v>
      </c>
    </row>
    <row r="278" spans="1:13" ht="15.75" x14ac:dyDescent="0.25">
      <c r="A278" s="166" t="s">
        <v>252</v>
      </c>
      <c r="B278" s="167">
        <v>25.714806291999999</v>
      </c>
      <c r="C278" s="168">
        <v>25.714697004000001</v>
      </c>
      <c r="E278" s="181">
        <v>176.2325707</v>
      </c>
      <c r="F278" s="174">
        <v>67.468632549999995</v>
      </c>
      <c r="H278" s="183">
        <v>163.1438776</v>
      </c>
      <c r="I278" s="180">
        <v>56.319220299999998</v>
      </c>
      <c r="K278" s="208" t="s">
        <v>252</v>
      </c>
      <c r="L278" s="207">
        <v>21.948361684000002</v>
      </c>
      <c r="M278" s="207">
        <v>21.302019325</v>
      </c>
    </row>
    <row r="279" spans="1:13" ht="15.75" x14ac:dyDescent="0.25">
      <c r="A279" s="162" t="s">
        <v>253</v>
      </c>
      <c r="B279" s="163">
        <v>25.773548883</v>
      </c>
      <c r="C279" s="164">
        <v>25.751181066000001</v>
      </c>
      <c r="E279" s="182">
        <v>176.2775781</v>
      </c>
      <c r="F279" s="173">
        <v>67.642813779999997</v>
      </c>
      <c r="H279" s="184">
        <v>163.1564644</v>
      </c>
      <c r="I279" s="179">
        <v>56.409631050000002</v>
      </c>
      <c r="K279" s="216" t="s">
        <v>253</v>
      </c>
      <c r="L279" s="215">
        <v>22.000505690000001</v>
      </c>
      <c r="M279" s="215">
        <v>21.328054894000001</v>
      </c>
    </row>
    <row r="280" spans="1:13" ht="15.75" x14ac:dyDescent="0.25">
      <c r="A280" s="166" t="s">
        <v>254</v>
      </c>
      <c r="B280" s="167">
        <v>25.832252067999999</v>
      </c>
      <c r="C280" s="168">
        <v>25.787333797999999</v>
      </c>
      <c r="E280" s="181">
        <v>176.32020080000001</v>
      </c>
      <c r="F280" s="174">
        <v>67.812767500000007</v>
      </c>
      <c r="H280" s="183">
        <v>163.16856970000001</v>
      </c>
      <c r="I280" s="180">
        <v>56.500958109999999</v>
      </c>
      <c r="K280" s="208" t="s">
        <v>254</v>
      </c>
      <c r="L280" s="207">
        <v>22.052292423000001</v>
      </c>
      <c r="M280" s="207">
        <v>21.353425629</v>
      </c>
    </row>
    <row r="281" spans="1:13" ht="15.75" x14ac:dyDescent="0.25">
      <c r="A281" s="162" t="s">
        <v>255</v>
      </c>
      <c r="B281" s="163">
        <v>25.890926872000001</v>
      </c>
      <c r="C281" s="164">
        <v>25.823166105999999</v>
      </c>
      <c r="E281" s="182">
        <v>176.36058639999999</v>
      </c>
      <c r="F281" s="173">
        <v>67.978773309999994</v>
      </c>
      <c r="H281" s="184">
        <v>163.1802146</v>
      </c>
      <c r="I281" s="179">
        <v>56.593201069999999</v>
      </c>
      <c r="K281" s="216" t="s">
        <v>255</v>
      </c>
      <c r="L281" s="215">
        <v>22.103713047999999</v>
      </c>
      <c r="M281" s="215">
        <v>21.378124616000001</v>
      </c>
    </row>
    <row r="282" spans="1:13" ht="15.75" x14ac:dyDescent="0.25">
      <c r="A282" s="166" t="s">
        <v>256</v>
      </c>
      <c r="B282" s="167">
        <v>25.949581158000001</v>
      </c>
      <c r="C282" s="168">
        <v>25.858691150999999</v>
      </c>
      <c r="E282" s="181">
        <v>176.39887250000001</v>
      </c>
      <c r="F282" s="174">
        <v>68.141110220000002</v>
      </c>
      <c r="H282" s="183">
        <v>163.1914194</v>
      </c>
      <c r="I282" s="180">
        <v>56.686326190000003</v>
      </c>
      <c r="K282" s="208" t="s">
        <v>256</v>
      </c>
      <c r="L282" s="207">
        <v>22.154756029000001</v>
      </c>
      <c r="M282" s="207">
        <v>21.402145892</v>
      </c>
    </row>
    <row r="283" spans="1:13" ht="15.75" x14ac:dyDescent="0.25">
      <c r="A283" s="162" t="s">
        <v>257</v>
      </c>
      <c r="B283" s="163">
        <v>26.008226305000001</v>
      </c>
      <c r="C283" s="164">
        <v>25.893922412999999</v>
      </c>
      <c r="E283" s="182">
        <v>176.43518739999999</v>
      </c>
      <c r="F283" s="173">
        <v>68.300047410000005</v>
      </c>
      <c r="H283" s="184">
        <v>163.202203</v>
      </c>
      <c r="I283" s="179">
        <v>56.780263640000001</v>
      </c>
      <c r="K283" s="216" t="s">
        <v>257</v>
      </c>
      <c r="L283" s="215">
        <v>22.205412485</v>
      </c>
      <c r="M283" s="215">
        <v>21.425483514</v>
      </c>
    </row>
    <row r="284" spans="1:13" ht="15.75" x14ac:dyDescent="0.25">
      <c r="A284" s="166" t="s">
        <v>258</v>
      </c>
      <c r="B284" s="167">
        <v>26.066873207</v>
      </c>
      <c r="C284" s="168">
        <v>25.928873686999999</v>
      </c>
      <c r="E284" s="181">
        <v>176.469651</v>
      </c>
      <c r="F284" s="174">
        <v>68.455845400000001</v>
      </c>
      <c r="H284" s="183">
        <v>163.21258349999999</v>
      </c>
      <c r="I284" s="180">
        <v>56.874904649999998</v>
      </c>
      <c r="K284" s="208" t="s">
        <v>258</v>
      </c>
      <c r="L284" s="207">
        <v>22.255673000000002</v>
      </c>
      <c r="M284" s="207">
        <v>21.448131558</v>
      </c>
    </row>
    <row r="285" spans="1:13" ht="15.75" x14ac:dyDescent="0.25">
      <c r="A285" s="162" t="s">
        <v>259</v>
      </c>
      <c r="B285" s="163">
        <v>26.125533103999999</v>
      </c>
      <c r="C285" s="164">
        <v>25.963559081</v>
      </c>
      <c r="E285" s="182">
        <v>176.50237509999999</v>
      </c>
      <c r="F285" s="173">
        <v>68.608721739999993</v>
      </c>
      <c r="H285" s="184">
        <v>163.2225779</v>
      </c>
      <c r="I285" s="179">
        <v>56.970098559999997</v>
      </c>
      <c r="K285" s="216" t="s">
        <v>259</v>
      </c>
      <c r="L285" s="215">
        <v>22.305528305999999</v>
      </c>
      <c r="M285" s="215">
        <v>21.470084115999999</v>
      </c>
    </row>
    <row r="286" spans="1:13" ht="15.75" x14ac:dyDescent="0.25">
      <c r="A286" s="166" t="s">
        <v>260</v>
      </c>
      <c r="B286" s="167">
        <v>26.184217588999999</v>
      </c>
      <c r="C286" s="168">
        <v>25.997993009000002</v>
      </c>
      <c r="E286" s="181">
        <v>176.53346400000001</v>
      </c>
      <c r="F286" s="174">
        <v>68.758892630000005</v>
      </c>
      <c r="H286" s="183">
        <v>163.23220240000001</v>
      </c>
      <c r="I286" s="180">
        <v>57.065649890000003</v>
      </c>
      <c r="K286" s="208" t="s">
        <v>260</v>
      </c>
      <c r="L286" s="207">
        <v>22.354969299</v>
      </c>
      <c r="M286" s="207">
        <v>21.491335286000002</v>
      </c>
    </row>
    <row r="287" spans="1:13" ht="15.75" x14ac:dyDescent="0.25">
      <c r="A287" s="162" t="s">
        <v>261</v>
      </c>
      <c r="B287" s="163">
        <v>26.242938607999999</v>
      </c>
      <c r="C287" s="164">
        <v>26.032190187000001</v>
      </c>
      <c r="E287" s="182">
        <v>176.56301529999999</v>
      </c>
      <c r="F287" s="173">
        <v>68.906530279999998</v>
      </c>
      <c r="H287" s="184">
        <v>163.2414722</v>
      </c>
      <c r="I287" s="179">
        <v>57.161315279999997</v>
      </c>
      <c r="K287" s="216" t="s">
        <v>261</v>
      </c>
      <c r="L287" s="215">
        <v>22.403987056999998</v>
      </c>
      <c r="M287" s="215">
        <v>21.511879176000001</v>
      </c>
    </row>
    <row r="288" spans="1:13" ht="15.75" x14ac:dyDescent="0.25">
      <c r="A288" s="166" t="s">
        <v>262</v>
      </c>
      <c r="B288" s="167">
        <v>26.301707228000001</v>
      </c>
      <c r="C288" s="168">
        <v>26.06616563</v>
      </c>
      <c r="E288" s="181">
        <v>176.59111970000001</v>
      </c>
      <c r="F288" s="174">
        <v>69.051764270000007</v>
      </c>
      <c r="H288" s="183">
        <v>163.25040190000001</v>
      </c>
      <c r="I288" s="180">
        <v>57.256798209999999</v>
      </c>
      <c r="K288" s="208" t="s">
        <v>262</v>
      </c>
      <c r="L288" s="207">
        <v>22.452571817999999</v>
      </c>
      <c r="M288" s="207">
        <v>21.531709893999999</v>
      </c>
    </row>
    <row r="289" spans="1:13" ht="15.75" x14ac:dyDescent="0.25">
      <c r="A289" s="162" t="s">
        <v>263</v>
      </c>
      <c r="B289" s="163">
        <v>26.360539323000001</v>
      </c>
      <c r="C289" s="164">
        <v>26.099934651000002</v>
      </c>
      <c r="E289" s="182">
        <v>176.6178621</v>
      </c>
      <c r="F289" s="173">
        <v>69.194672879999999</v>
      </c>
      <c r="H289" s="184">
        <v>163.25900519999999</v>
      </c>
      <c r="I289" s="179">
        <v>57.351757919999997</v>
      </c>
      <c r="K289" s="216" t="s">
        <v>263</v>
      </c>
      <c r="L289" s="215">
        <v>22.500717780999999</v>
      </c>
      <c r="M289" s="215">
        <v>21.550821547000002</v>
      </c>
    </row>
    <row r="290" spans="1:13" ht="15.75" x14ac:dyDescent="0.25">
      <c r="A290" s="166" t="s">
        <v>264</v>
      </c>
      <c r="B290" s="167">
        <v>26.419445233000001</v>
      </c>
      <c r="C290" s="168">
        <v>26.133512848999999</v>
      </c>
      <c r="E290" s="181">
        <v>176.64332189999999</v>
      </c>
      <c r="F290" s="174">
        <v>69.335273760000007</v>
      </c>
      <c r="H290" s="183">
        <v>163.26729539999999</v>
      </c>
      <c r="I290" s="180">
        <v>57.445781719999999</v>
      </c>
      <c r="K290" s="208" t="s">
        <v>264</v>
      </c>
      <c r="L290" s="207">
        <v>22.548414372</v>
      </c>
      <c r="M290" s="207">
        <v>21.569208237000002</v>
      </c>
    </row>
    <row r="291" spans="1:13" ht="15.75" x14ac:dyDescent="0.25">
      <c r="A291" s="162" t="s">
        <v>265</v>
      </c>
      <c r="B291" s="163">
        <v>26.478439122000001</v>
      </c>
      <c r="C291" s="164">
        <v>26.166916111999999</v>
      </c>
      <c r="E291" s="182">
        <v>176.66757290000001</v>
      </c>
      <c r="F291" s="173">
        <v>69.473513729999993</v>
      </c>
      <c r="H291" s="184">
        <v>163.27528480000001</v>
      </c>
      <c r="I291" s="179">
        <v>57.538404290000003</v>
      </c>
      <c r="K291" s="216" t="s">
        <v>265</v>
      </c>
      <c r="L291" s="215">
        <v>22.595654215</v>
      </c>
      <c r="M291" s="215">
        <v>21.586864057</v>
      </c>
    </row>
    <row r="292" spans="1:13" ht="15.75" x14ac:dyDescent="0.25">
      <c r="A292" s="166" t="s">
        <v>266</v>
      </c>
      <c r="B292" s="167">
        <v>26.537534783000002</v>
      </c>
      <c r="C292" s="168">
        <v>26.200160610000001</v>
      </c>
      <c r="E292" s="181">
        <v>176.69068440000001</v>
      </c>
      <c r="F292" s="174">
        <v>69.609257819999996</v>
      </c>
      <c r="H292" s="183">
        <v>163.2829854</v>
      </c>
      <c r="I292" s="180">
        <v>57.629100940000001</v>
      </c>
      <c r="K292" s="208" t="s">
        <v>266</v>
      </c>
      <c r="L292" s="207">
        <v>22.642429557</v>
      </c>
      <c r="M292" s="207">
        <v>21.603783087</v>
      </c>
    </row>
    <row r="293" spans="1:13" ht="15.75" x14ac:dyDescent="0.25">
      <c r="A293" s="162" t="s">
        <v>267</v>
      </c>
      <c r="B293" s="163">
        <v>26.596746393</v>
      </c>
      <c r="C293" s="164">
        <v>26.233262790000001</v>
      </c>
      <c r="E293" s="182">
        <v>176.71272099999999</v>
      </c>
      <c r="F293" s="173">
        <v>69.742277580000007</v>
      </c>
      <c r="H293" s="184">
        <v>163.29040860000001</v>
      </c>
      <c r="I293" s="179">
        <v>57.717275800000003</v>
      </c>
      <c r="K293" s="216" t="s">
        <v>267</v>
      </c>
      <c r="L293" s="215">
        <v>22.688732921</v>
      </c>
      <c r="M293" s="215">
        <v>21.619959388000002</v>
      </c>
    </row>
    <row r="294" spans="1:13" ht="15.75" x14ac:dyDescent="0.25">
      <c r="A294" s="166" t="s">
        <v>268</v>
      </c>
      <c r="B294" s="167">
        <v>26.656088513</v>
      </c>
      <c r="C294" s="168">
        <v>26.266239373000001</v>
      </c>
      <c r="E294" s="181">
        <v>176.733743</v>
      </c>
      <c r="F294" s="174">
        <v>69.872238850000002</v>
      </c>
      <c r="H294" s="183">
        <v>163.29756499999999</v>
      </c>
      <c r="I294" s="180">
        <v>57.80226553</v>
      </c>
      <c r="K294" s="208" t="s">
        <v>268</v>
      </c>
      <c r="L294" s="207">
        <v>22.734557125999999</v>
      </c>
      <c r="M294" s="207">
        <v>21.635387002000002</v>
      </c>
    </row>
    <row r="295" spans="1:13" ht="15.75" x14ac:dyDescent="0.25">
      <c r="A295" s="162" t="s">
        <v>269</v>
      </c>
      <c r="B295" s="163">
        <v>26.715576093999999</v>
      </c>
      <c r="C295" s="164">
        <v>26.299110385999999</v>
      </c>
      <c r="E295" s="182">
        <v>176.75380699999999</v>
      </c>
      <c r="F295" s="173">
        <v>69.998688959999996</v>
      </c>
      <c r="H295" s="184">
        <v>163.30446499999999</v>
      </c>
      <c r="I295" s="179">
        <v>57.883335019999997</v>
      </c>
      <c r="K295" s="216" t="s">
        <v>269</v>
      </c>
      <c r="L295" s="215">
        <v>22.779895294999999</v>
      </c>
      <c r="M295" s="215">
        <v>21.650061262000001</v>
      </c>
    </row>
    <row r="296" spans="1:13" ht="15.75" x14ac:dyDescent="0.25">
      <c r="A296" s="166" t="s">
        <v>270</v>
      </c>
      <c r="B296" s="167">
        <v>26.775224483999999</v>
      </c>
      <c r="C296" s="168">
        <v>26.331885089</v>
      </c>
      <c r="E296" s="181">
        <v>176.77296569999999</v>
      </c>
      <c r="F296" s="174">
        <v>70.121043810000003</v>
      </c>
      <c r="H296" s="183">
        <v>163.31111849999999</v>
      </c>
      <c r="I296" s="180">
        <v>57.959674579999998</v>
      </c>
      <c r="K296" s="208" t="s">
        <v>270</v>
      </c>
      <c r="L296" s="207">
        <v>22.824740867999999</v>
      </c>
      <c r="M296" s="207">
        <v>21.663972694999998</v>
      </c>
    </row>
    <row r="297" spans="1:13" ht="15.75" x14ac:dyDescent="0.25">
      <c r="A297" s="162" t="s">
        <v>271</v>
      </c>
      <c r="B297" s="163">
        <v>26.835051321000002</v>
      </c>
      <c r="C297" s="164">
        <v>26.364585813000001</v>
      </c>
      <c r="E297" s="182">
        <v>176.79126869999999</v>
      </c>
      <c r="F297" s="173">
        <v>70.238574819999997</v>
      </c>
      <c r="H297" s="184">
        <v>163.3175349</v>
      </c>
      <c r="I297" s="179">
        <v>58.030397299999997</v>
      </c>
      <c r="K297" s="216" t="s">
        <v>271</v>
      </c>
      <c r="L297" s="215">
        <v>22.869089116000001</v>
      </c>
      <c r="M297" s="215">
        <v>21.677117355</v>
      </c>
    </row>
    <row r="298" spans="1:13" ht="15.75" x14ac:dyDescent="0.25">
      <c r="A298" s="166" t="s">
        <v>272</v>
      </c>
      <c r="B298" s="167">
        <v>26.895069442</v>
      </c>
      <c r="C298" s="168">
        <v>26.397230769</v>
      </c>
      <c r="E298" s="181">
        <v>176.80876219999999</v>
      </c>
      <c r="F298" s="174">
        <v>70.350396259999997</v>
      </c>
      <c r="H298" s="183">
        <v>163.3237231</v>
      </c>
      <c r="I298" s="180">
        <v>58.094532090000001</v>
      </c>
      <c r="K298" s="208" t="s">
        <v>272</v>
      </c>
      <c r="L298" s="207">
        <v>22.912931508</v>
      </c>
      <c r="M298" s="207">
        <v>21.689489351999999</v>
      </c>
    </row>
    <row r="299" spans="1:13" ht="15.75" x14ac:dyDescent="0.25">
      <c r="A299" s="162" t="s">
        <v>273</v>
      </c>
      <c r="B299" s="163">
        <v>26.955296971999999</v>
      </c>
      <c r="C299" s="164">
        <v>26.429838734</v>
      </c>
      <c r="E299" s="182">
        <v>176.8254895</v>
      </c>
      <c r="F299" s="173">
        <v>70.455461049999997</v>
      </c>
      <c r="H299" s="184">
        <v>163.32969180000001</v>
      </c>
      <c r="I299" s="179">
        <v>58.151035749999998</v>
      </c>
      <c r="K299" s="216" t="s">
        <v>273</v>
      </c>
      <c r="L299" s="215">
        <v>22.956263733</v>
      </c>
      <c r="M299" s="215">
        <v>21.701082884000002</v>
      </c>
    </row>
    <row r="300" spans="1:13" ht="15.75" x14ac:dyDescent="0.25">
      <c r="A300" s="166" t="s">
        <v>274</v>
      </c>
      <c r="B300" s="167">
        <v>27.015750923999999</v>
      </c>
      <c r="C300" s="168">
        <v>26.462429098000001</v>
      </c>
      <c r="E300" s="181">
        <v>176.8414914</v>
      </c>
      <c r="F300" s="174">
        <v>70.55252127</v>
      </c>
      <c r="H300" s="183">
        <v>163.33544910000001</v>
      </c>
      <c r="I300" s="180">
        <v>58.198771399999998</v>
      </c>
      <c r="K300" s="208" t="s">
        <v>274</v>
      </c>
      <c r="L300" s="207">
        <v>22.999080616000001</v>
      </c>
      <c r="M300" s="207">
        <v>21.711892251999998</v>
      </c>
    </row>
    <row r="301" spans="1:13" ht="15.75" x14ac:dyDescent="0.25">
      <c r="A301" s="162">
        <v>240</v>
      </c>
      <c r="B301" s="163">
        <v>27.046068182999999</v>
      </c>
      <c r="C301" s="164">
        <v>26.478719662</v>
      </c>
      <c r="E301" s="154"/>
      <c r="F301" s="155"/>
      <c r="G301" s="155"/>
      <c r="K301" s="216">
        <v>240</v>
      </c>
      <c r="L301" s="215">
        <v>23.020294238000002</v>
      </c>
      <c r="M301" s="215">
        <v>21.716999342000001</v>
      </c>
    </row>
    <row r="302" spans="1:13" ht="15.75" x14ac:dyDescent="0.25">
      <c r="B302" s="82"/>
      <c r="C302" s="83"/>
      <c r="F302" s="127"/>
    </row>
    <row r="304" spans="1:13" ht="15.75" x14ac:dyDescent="0.25">
      <c r="A304" s="120"/>
      <c r="B304" s="120"/>
      <c r="C304" s="42"/>
      <c r="D304" s="42"/>
      <c r="E304" s="42"/>
    </row>
    <row r="305" spans="1:5" ht="15.75" x14ac:dyDescent="0.25">
      <c r="A305" s="121"/>
      <c r="B305" s="122"/>
      <c r="C305" s="41"/>
      <c r="D305" s="121"/>
      <c r="E305" s="122"/>
    </row>
    <row r="306" spans="1:5" ht="15.75" x14ac:dyDescent="0.25">
      <c r="A306" s="123"/>
      <c r="B306" s="124"/>
      <c r="C306" s="41"/>
      <c r="D306" s="123"/>
      <c r="E306" s="124"/>
    </row>
    <row r="307" spans="1:5" ht="18" hidden="1" x14ac:dyDescent="0.25">
      <c r="A307" s="130" t="s">
        <v>552</v>
      </c>
      <c r="B307" s="124"/>
      <c r="C307" s="41"/>
      <c r="D307" s="123"/>
      <c r="E307" s="124"/>
    </row>
    <row r="308" spans="1:5" ht="18" hidden="1" x14ac:dyDescent="0.25">
      <c r="A308" s="130" t="s">
        <v>553</v>
      </c>
      <c r="B308" s="124"/>
      <c r="C308" s="41"/>
      <c r="D308" s="123"/>
      <c r="E308" s="124"/>
    </row>
    <row r="309" spans="1:5" ht="15.75" x14ac:dyDescent="0.25">
      <c r="A309" s="123"/>
      <c r="B309" s="124"/>
      <c r="C309" s="41"/>
      <c r="D309" s="123"/>
      <c r="E309" s="124"/>
    </row>
    <row r="310" spans="1:5" ht="15.75" x14ac:dyDescent="0.25">
      <c r="A310" s="123"/>
      <c r="B310" s="124"/>
      <c r="C310" s="41"/>
      <c r="D310" s="123"/>
      <c r="E310" s="124"/>
    </row>
    <row r="311" spans="1:5" ht="15.75" x14ac:dyDescent="0.25">
      <c r="A311" s="123"/>
      <c r="B311" s="124"/>
      <c r="C311" s="41"/>
      <c r="D311" s="123"/>
      <c r="E311" s="124"/>
    </row>
    <row r="312" spans="1:5" ht="15.75" x14ac:dyDescent="0.25">
      <c r="A312" s="123"/>
      <c r="B312" s="124"/>
      <c r="D312" s="123"/>
      <c r="E312" s="124"/>
    </row>
    <row r="313" spans="1:5" x14ac:dyDescent="0.25">
      <c r="A313" s="26"/>
      <c r="B313" s="26"/>
    </row>
    <row r="315" spans="1:5" hidden="1" x14ac:dyDescent="0.25">
      <c r="B315" s="43" t="s">
        <v>300</v>
      </c>
    </row>
    <row r="316" spans="1:5" hidden="1" x14ac:dyDescent="0.25">
      <c r="A316" t="s">
        <v>72</v>
      </c>
      <c r="B316">
        <v>365</v>
      </c>
    </row>
    <row r="317" spans="1:5" hidden="1" x14ac:dyDescent="0.25">
      <c r="A317" t="s">
        <v>73</v>
      </c>
      <c r="B317">
        <v>365</v>
      </c>
    </row>
    <row r="318" spans="1:5" hidden="1" x14ac:dyDescent="0.25">
      <c r="A318" t="s">
        <v>74</v>
      </c>
      <c r="B318">
        <v>365</v>
      </c>
    </row>
    <row r="319" spans="1:5" hidden="1" x14ac:dyDescent="0.25">
      <c r="A319" t="s">
        <v>75</v>
      </c>
      <c r="B319">
        <v>366</v>
      </c>
    </row>
    <row r="320" spans="1:5" hidden="1" x14ac:dyDescent="0.25">
      <c r="A320" t="s">
        <v>301</v>
      </c>
      <c r="B320">
        <f>SUM(B316:B319)</f>
        <v>1461</v>
      </c>
    </row>
    <row r="321" spans="1:2" hidden="1" x14ac:dyDescent="0.25">
      <c r="A321" t="s">
        <v>298</v>
      </c>
      <c r="B321">
        <f>B320/4</f>
        <v>365.25</v>
      </c>
    </row>
    <row r="322" spans="1:2" hidden="1" x14ac:dyDescent="0.25">
      <c r="A322" t="s">
        <v>299</v>
      </c>
      <c r="B322">
        <f>B321/12</f>
        <v>30.4375</v>
      </c>
    </row>
  </sheetData>
  <sheetProtection algorithmName="SHA-256" hashValue="l4XBqbhsJuUAY1kkLd+VbX5uSeh1cSHC1zGICsuDwQo=" saltValue="GpioAZBFpM+ecyuqQfKHDg==" spinCount="100000" sheet="1" objects="1" scenarios="1"/>
  <hyperlinks>
    <hyperlink ref="A15" location="'PWS mature skeleton only'!A1" display="• For male patients with a bone age of 15.5 years or more and female patients with a bone age of 13.5 years or more, at step 2 of the worksheet PWS mature skeleton only"/>
    <hyperlink ref="A25" location="'PWS non-mature skeleton only'!A1" display="• For male patients with a bone age of less than 15.5 years and female patients with a bone age of less than 13.5 years, at step 4 of the worksheet PWS non-mature skeleton only"/>
    <hyperlink ref="A26" location="'PWS mature skeleton only'!A1" display="• For male patients with a bone age of 15.5 years or more and female patients with a bone age of 13.5 years or more, at step 3 of the worksheet PWS mature skeleton only"/>
    <hyperlink ref="A33" location="'PWS mature skeleton only'!A1" display="• For male patients with a bone age of 15.5 years or more and female patients with a bone age of 13.5 years or more, at step 3 of the worksheet PWS mature skeleton only"/>
    <hyperlink ref="A32" location="'PWS non-mature skeleton only'!A1" display="• For male patients with a bone age of less than 15.5 years and female patients with a bone age of less than 13.5 years, at step 4 of the worksheet PWS non-mature skeleton only"/>
    <hyperlink ref="A14" location="'PWS non-mature skeleton only'!A1" display="• For male patients with a bone age of less than 15.5 years and female patients with a bone age of less than 13.5 years, at step 3 of the worksheet PWS non-mature skeleton only"/>
  </hyperlinks>
  <pageMargins left="0.70866141732283472" right="0.70866141732283472" top="0.74803149606299213" bottom="0.74803149606299213" header="0.31496062992125984" footer="0.31496062992125984"/>
  <pageSetup paperSize="8" scale="52" fitToHeight="15" orientation="landscape" r:id="rId1"/>
  <ignoredErrors>
    <ignoredError sqref="A60 K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vt:lpstr>
      <vt:lpstr>All excl. PWS</vt:lpstr>
      <vt:lpstr>PWS non-mature skeleton only</vt:lpstr>
      <vt:lpstr>PWS mature skeleton only</vt:lpstr>
      <vt:lpstr>BMI and ideal body weight - PWS</vt:lpstr>
      <vt:lpstr>'PWS non-mature skeleton only'!_GoBack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2016-04-19T06:07:20Z</dcterms:created>
  <dcterms:modified xsi:type="dcterms:W3CDTF">2019-02-05T01:20:43Z</dcterms:modified>
</cp:coreProperties>
</file>